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 activeTab="4"/>
  </bookViews>
  <sheets>
    <sheet name="11111111" sheetId="59" r:id="rId1"/>
    <sheet name="гидрометео" sheetId="60" r:id="rId2"/>
    <sheet name="экология" sheetId="61" r:id="rId3"/>
    <sheet name="геол" sheetId="62" r:id="rId4"/>
    <sheet name="геод" sheetId="63" r:id="rId5"/>
  </sheets>
  <definedNames>
    <definedName name="_xlnm.Print_Area" localSheetId="0">'11111111'!$A$1:$E$67</definedName>
    <definedName name="_xlnm.Print_Area" localSheetId="4">геод!$A$1:$F$27</definedName>
    <definedName name="_xlnm.Print_Area" localSheetId="3">геол!$A$1:$E$26</definedName>
    <definedName name="_xlnm.Print_Area" localSheetId="1">гидрометео!$A$1:$E$15</definedName>
    <definedName name="_xlnm.Print_Area" localSheetId="2">экология!$A$1:$J$56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N57" i="59" l="1"/>
  <c r="L57" i="59"/>
  <c r="M57" i="59" s="1"/>
  <c r="E63" i="59" l="1"/>
  <c r="E9" i="63"/>
  <c r="E8" i="63"/>
  <c r="E10" i="63" s="1"/>
  <c r="E12" i="63" s="1"/>
  <c r="E14" i="63" l="1"/>
  <c r="E16" i="63"/>
  <c r="E17" i="63" s="1"/>
  <c r="E18" i="63" s="1"/>
  <c r="E19" i="63" s="1"/>
  <c r="E58" i="59" l="1"/>
  <c r="E30" i="59"/>
  <c r="E26" i="59"/>
  <c r="E20" i="59"/>
  <c r="E19" i="59"/>
  <c r="K19" i="59"/>
  <c r="K18" i="59"/>
  <c r="E49" i="59"/>
  <c r="E7" i="59"/>
  <c r="E53" i="59" l="1"/>
  <c r="E51" i="59"/>
  <c r="E32" i="59"/>
  <c r="E12" i="59"/>
  <c r="K26" i="59" l="1"/>
  <c r="Q26" i="59" s="1"/>
  <c r="K25" i="59"/>
  <c r="Q25" i="59" s="1"/>
  <c r="E40" i="59" l="1"/>
  <c r="E34" i="59"/>
  <c r="J54" i="61" l="1"/>
  <c r="E60" i="59"/>
  <c r="E13" i="60"/>
  <c r="E55" i="59"/>
  <c r="E57" i="59" l="1"/>
  <c r="E45" i="59"/>
  <c r="G60" i="59" l="1"/>
  <c r="H60" i="59" s="1"/>
  <c r="F57" i="59" l="1"/>
  <c r="G57" i="59" s="1"/>
  <c r="H57" i="59" s="1"/>
  <c r="E17" i="62" l="1"/>
  <c r="E16" i="62"/>
  <c r="E20" i="62" s="1"/>
  <c r="E14" i="62"/>
  <c r="E19" i="62" s="1"/>
  <c r="E13" i="62"/>
  <c r="E18" i="62" s="1"/>
  <c r="E8" i="62"/>
  <c r="E7" i="62"/>
  <c r="E6" i="62"/>
  <c r="E5" i="62"/>
  <c r="J43" i="61"/>
  <c r="J42" i="61"/>
  <c r="J41" i="61"/>
  <c r="J40" i="61"/>
  <c r="J39" i="61"/>
  <c r="J44" i="61" s="1"/>
  <c r="H36" i="61"/>
  <c r="H35" i="61"/>
  <c r="J35" i="61" s="1"/>
  <c r="H29" i="61"/>
  <c r="H30" i="61" s="1"/>
  <c r="H28" i="61"/>
  <c r="H24" i="61"/>
  <c r="J23" i="61"/>
  <c r="J26" i="61" s="1"/>
  <c r="H22" i="61"/>
  <c r="I13" i="61"/>
  <c r="J12" i="61"/>
  <c r="J11" i="61"/>
  <c r="J10" i="61"/>
  <c r="J14" i="61" s="1"/>
  <c r="J9" i="61"/>
  <c r="J8" i="61"/>
  <c r="J6" i="61"/>
  <c r="E9" i="62" l="1"/>
  <c r="E21" i="62"/>
  <c r="J49" i="61"/>
  <c r="I15" i="61"/>
  <c r="J15" i="61"/>
  <c r="J30" i="61"/>
  <c r="H31" i="61"/>
  <c r="H32" i="61" s="1"/>
  <c r="H33" i="61" s="1"/>
  <c r="J29" i="61"/>
  <c r="E11" i="62" l="1"/>
  <c r="E10" i="62"/>
  <c r="J16" i="61"/>
  <c r="I17" i="61" s="1"/>
  <c r="J17" i="61" s="1"/>
  <c r="J18" i="61" s="1"/>
  <c r="J19" i="61" s="1"/>
  <c r="I16" i="61"/>
  <c r="J33" i="61"/>
  <c r="J37" i="61" s="1"/>
  <c r="H34" i="61"/>
  <c r="J34" i="61" s="1"/>
  <c r="E22" i="62" l="1"/>
  <c r="E23" i="62" s="1"/>
  <c r="E62" i="59" s="1"/>
  <c r="J48" i="61"/>
  <c r="J50" i="61" s="1"/>
  <c r="J45" i="61"/>
  <c r="J46" i="61"/>
  <c r="E24" i="62" l="1"/>
  <c r="E25" i="62" s="1"/>
  <c r="J51" i="61"/>
  <c r="J53" i="61"/>
  <c r="J55" i="61" l="1"/>
  <c r="E11" i="60"/>
  <c r="E12" i="60" s="1"/>
  <c r="E14" i="60" s="1"/>
  <c r="E15" i="60" s="1"/>
  <c r="J56" i="61" l="1"/>
  <c r="E61" i="59"/>
  <c r="P31" i="59"/>
  <c r="N31" i="59"/>
  <c r="M31" i="59"/>
  <c r="K31" i="59"/>
  <c r="F25" i="59"/>
  <c r="Q18" i="59"/>
  <c r="F18" i="59" s="1"/>
  <c r="K12" i="59"/>
  <c r="K11" i="59"/>
  <c r="K6" i="59"/>
  <c r="K5" i="59"/>
  <c r="P12" i="59"/>
  <c r="P11" i="59"/>
  <c r="M12" i="59"/>
  <c r="M11" i="59"/>
  <c r="N12" i="59"/>
  <c r="N11" i="59"/>
  <c r="N6" i="59"/>
  <c r="Q6" i="59" s="1"/>
  <c r="F6" i="59" s="1"/>
  <c r="N5" i="59"/>
  <c r="Q5" i="59" s="1"/>
  <c r="M60" i="59" l="1"/>
  <c r="N60" i="59" s="1"/>
  <c r="N65" i="59" s="1"/>
  <c r="E65" i="59"/>
  <c r="Q19" i="59"/>
  <c r="F19" i="59" s="1"/>
  <c r="F24" i="59" s="1"/>
  <c r="Q11" i="59"/>
  <c r="F11" i="59" s="1"/>
  <c r="Q31" i="59"/>
  <c r="F31" i="59" s="1"/>
  <c r="F32" i="59" s="1"/>
  <c r="F26" i="59"/>
  <c r="F30" i="59" s="1"/>
  <c r="F5" i="59"/>
  <c r="F7" i="59" s="1"/>
  <c r="Q12" i="59"/>
  <c r="F12" i="59" s="1"/>
  <c r="Q38" i="59"/>
  <c r="F38" i="59" s="1"/>
  <c r="Q34" i="59"/>
  <c r="F34" i="59" s="1"/>
  <c r="F16" i="59" l="1"/>
  <c r="E66" i="59"/>
  <c r="E67" i="59" s="1"/>
  <c r="F39" i="59"/>
</calcChain>
</file>

<file path=xl/sharedStrings.xml><?xml version="1.0" encoding="utf-8"?>
<sst xmlns="http://schemas.openxmlformats.org/spreadsheetml/2006/main" count="443" uniqueCount="332">
  <si>
    <t>№ п/п</t>
  </si>
  <si>
    <t>Характеристика предприятия. Здания,сооружения или видов работ</t>
  </si>
  <si>
    <t xml:space="preserve">Номер частей,глав,таблиц,процентов,параграфов и пунктов указаний к разделу Справочника базовых цен на проектные и изыскательские работы для строительства </t>
  </si>
  <si>
    <t>Расчет стоимости</t>
  </si>
  <si>
    <t>Всего:</t>
  </si>
  <si>
    <t>НДС:</t>
  </si>
  <si>
    <t>Приложение №2</t>
  </si>
  <si>
    <t>эл</t>
  </si>
  <si>
    <t>связь</t>
  </si>
  <si>
    <t>п</t>
  </si>
  <si>
    <t>СБЦ "Объекты промышленности хим.волокон"</t>
  </si>
  <si>
    <t>Материальный склад закрытый</t>
  </si>
  <si>
    <t>т.3 п.1.88</t>
  </si>
  <si>
    <t>Административно-бытовой корпус</t>
  </si>
  <si>
    <t>технол</t>
  </si>
  <si>
    <t>автомат</t>
  </si>
  <si>
    <t>арх-стр</t>
  </si>
  <si>
    <t>СБЦ "Объекты жилищно-гражданского строительства"</t>
  </si>
  <si>
    <t>т.25 п.6</t>
  </si>
  <si>
    <t>Контрольно-пропускной пункт</t>
  </si>
  <si>
    <t>СБЦ "Предприятия транспорта, хранения нефтепродуктов и автозаправочные станции"</t>
  </si>
  <si>
    <t>т.2 п.30</t>
  </si>
  <si>
    <t>р</t>
  </si>
  <si>
    <t>без арх-стр. части</t>
  </si>
  <si>
    <t>отопл,вент</t>
  </si>
  <si>
    <t>в,к</t>
  </si>
  <si>
    <t>св и сигн</t>
  </si>
  <si>
    <t>ПОС</t>
  </si>
  <si>
    <t>пож</t>
  </si>
  <si>
    <t>см</t>
  </si>
  <si>
    <t>тэч</t>
  </si>
  <si>
    <t>отопл</t>
  </si>
  <si>
    <t>Демонтаж градирни</t>
  </si>
  <si>
    <t>СБЦ "Предприятия  агропромышленного комплекса, торговли и общественного питания"</t>
  </si>
  <si>
    <t>т.10 п.53</t>
  </si>
  <si>
    <t>Очистные установки</t>
  </si>
  <si>
    <t>СБЦ "Объекты водоснабжения и канализации"</t>
  </si>
  <si>
    <t xml:space="preserve"> "П"=42 (2-поясн.,2водоотв.,(5+18)*0,2арх.,7-технол.,6-ПОС,8-ООС,4 пож.,1безоп.,7,4-см)</t>
  </si>
  <si>
    <t>42*0,6+39*0,4=25,2+15,6=41%</t>
  </si>
  <si>
    <t>"П"=  (техн-10,арх-46*0,2,отопл.вент-7,в.к-12,эл и авт.-11,св-2,пос-2,пож-2,см-8)</t>
  </si>
  <si>
    <t>"Р"=  (техн-6,7,арх-41,1*0,2,отопл.вент-10,2,в.к-12,7,эл и авт.-17,6,св-1,9,пож-2,см-7,8)</t>
  </si>
  <si>
    <t>24*180=4,32тыс.м2</t>
  </si>
  <si>
    <t>"П"=  (поясн.2,арх-(14+15)*0,2,эл.-7*0,2,в-4*0,2,к-4*0,2,отопл.вент.-12*0,2,св-3,техн.-5*0,2,пос-6,ООС-7,пож-6,см-7)</t>
  </si>
  <si>
    <t>"Р"=  (арх,констр.-(22+27)*0,2,эл.-5*0,2,в-3*0,2,к-3*0,2,отопл.вент.-14*0,2,св-3,техн.-4*0,2,пож-4,см-9)</t>
  </si>
  <si>
    <t>"П"=  (техн.16*0,2,арх-41*0,2+автом8*0,2+водопр.к3*0,2,отопл.вент 8*0,2,эл 11*0,2,св-2,см-9)</t>
  </si>
  <si>
    <t>Сети связи</t>
  </si>
  <si>
    <t>Узлы учета</t>
  </si>
  <si>
    <t>СЦ на проектные работы для строительства предприятий,зданий и сооружений радиопромышленности"</t>
  </si>
  <si>
    <t>т.14 п.1</t>
  </si>
  <si>
    <t>СБЦ "Объекты связи"</t>
  </si>
  <si>
    <t>т.1 п.15</t>
  </si>
  <si>
    <t>№    п/п</t>
  </si>
  <si>
    <t>Стоимость,руб.</t>
  </si>
  <si>
    <t xml:space="preserve">    Определение максимальных расходов весеннего
эмпирическим редукционным формулам
</t>
  </si>
  <si>
    <t>СБЦ на инженерные изыскания для строительства.Инженерно-гидрометеорологические изыскания т.56 п.2</t>
  </si>
  <si>
    <t>34*1</t>
  </si>
  <si>
    <t>Выбор аналога по данным о годовом.сезонном и экстремальном стоке при весьма сходных условиях формирования стока</t>
  </si>
  <si>
    <t>т.56 п.15</t>
  </si>
  <si>
    <t>217*1</t>
  </si>
  <si>
    <t>Выбор аналога при отсутствии данных наблюдений в исследуемом створе</t>
  </si>
  <si>
    <t>т.56 п.18</t>
  </si>
  <si>
    <t>206*1</t>
  </si>
  <si>
    <t>Вычисление процентного распределения стока по месяцам и сезонам</t>
  </si>
  <si>
    <t>т.56 п.24</t>
  </si>
  <si>
    <t>11*1</t>
  </si>
  <si>
    <t>Построение графика связи одного гидрологического эл-та с другими</t>
  </si>
  <si>
    <t>т.56 п.25</t>
  </si>
  <si>
    <t>18*1</t>
  </si>
  <si>
    <t>Построение расчетного гидрографа высокого стока по модели при продолжительности половодья до 3 месяцев</t>
  </si>
  <si>
    <t>т.56 п.35</t>
  </si>
  <si>
    <t>257*1</t>
  </si>
  <si>
    <t>Составление тех.отчета</t>
  </si>
  <si>
    <t>т.62 п.2</t>
  </si>
  <si>
    <t>Итого базовая цена 1991г.</t>
  </si>
  <si>
    <t>Цена в текущих ценах</t>
  </si>
  <si>
    <t>НДС</t>
  </si>
  <si>
    <t>ВСЕГО:</t>
  </si>
  <si>
    <t xml:space="preserve"> </t>
  </si>
  <si>
    <t xml:space="preserve">                                                                                                                                                                           </t>
  </si>
  <si>
    <t>1. П о л е в ы е    р а б о т ы</t>
  </si>
  <si>
    <t>Наименование  работ</t>
  </si>
  <si>
    <t>№ таблицы по "Сборнику.."</t>
  </si>
  <si>
    <t>Коэф. к сборнику цен</t>
  </si>
  <si>
    <t>Единица измерения</t>
  </si>
  <si>
    <t>Количество</t>
  </si>
  <si>
    <t>Цена, руб.</t>
  </si>
  <si>
    <t>Стоимость руб.</t>
  </si>
  <si>
    <t>Радиационное обследование участка</t>
  </si>
  <si>
    <t>СЦ 1999г  Гл. 24т.92 п.3</t>
  </si>
  <si>
    <t>0,1 га</t>
  </si>
  <si>
    <t>Измерение потока радона на участке</t>
  </si>
  <si>
    <t>СЦ 1999г Гл. 24 т.91 п.1</t>
  </si>
  <si>
    <t>м</t>
  </si>
  <si>
    <t>20 точек</t>
  </si>
  <si>
    <t>Измерение объемной активности радона в воздухе</t>
  </si>
  <si>
    <t>СЦ 1999г Гл. 24 т.91 п.2</t>
  </si>
  <si>
    <t>1 помещение</t>
  </si>
  <si>
    <t>Отбор почво-грунтов на радиоактивное загрязнение</t>
  </si>
  <si>
    <t>СЦ 1999г Гл. 16т.60п.7</t>
  </si>
  <si>
    <t>1 проба</t>
  </si>
  <si>
    <t>Отбор почво-грунтов на химические и бактериологические загрязнения</t>
  </si>
  <si>
    <t>Отбор проб воздуха</t>
  </si>
  <si>
    <t>СЦ 1999г Гл. 16т.60п.8</t>
  </si>
  <si>
    <t>Отбор проб воды с поверхности</t>
  </si>
  <si>
    <t>СЦ 1999г Гл. 16т.60п.1</t>
  </si>
  <si>
    <t>Разбивка сети контрольных точек</t>
  </si>
  <si>
    <t>гл.24. пар.2</t>
  </si>
  <si>
    <t>(1)+(2)</t>
  </si>
  <si>
    <t>ИТОГО с сезонным коэффициентом</t>
  </si>
  <si>
    <t>общ.указ.Т.2,п2</t>
  </si>
  <si>
    <t>(1) по (7)</t>
  </si>
  <si>
    <t>ИТОГО с поправочным коэффициентом</t>
  </si>
  <si>
    <t>общ.указ. П.14</t>
  </si>
  <si>
    <t>(8)</t>
  </si>
  <si>
    <t>Транспортные расходы</t>
  </si>
  <si>
    <t>СЦ1999г общ.указ. т.4</t>
  </si>
  <si>
    <t>(9)</t>
  </si>
  <si>
    <t>Итого полевых работ   :</t>
  </si>
  <si>
    <t>Итого с инфляционным индексом:</t>
  </si>
  <si>
    <t>Письмо Минстроя России
№ 39010-ИФ/09 от 05.08.2022</t>
  </si>
  <si>
    <t xml:space="preserve">      2.Л а б о р а т о р н ы е      р а б о т ы    </t>
  </si>
  <si>
    <t>Радиометрические работы</t>
  </si>
  <si>
    <t>Гамма-спектрометрия грунта</t>
  </si>
  <si>
    <t>СЦ 1999г Гл. 24 т.91 п.4</t>
  </si>
  <si>
    <t>Определение</t>
  </si>
  <si>
    <t>СЦ 1999г Гл. 24 т.92 п.3</t>
  </si>
  <si>
    <t>образ.</t>
  </si>
  <si>
    <t>Измерение потока радона (обр1)</t>
  </si>
  <si>
    <t>Итого радиометрических работ</t>
  </si>
  <si>
    <t>Санитарно-химическое обследование почвы</t>
  </si>
  <si>
    <t>Определение гигроскопической влажности</t>
  </si>
  <si>
    <t>СЦ 1999г Гл. 18 т.70 п.12</t>
  </si>
  <si>
    <t>%</t>
  </si>
  <si>
    <t>Приготовление соляной вытяжки для определения водородного показателя</t>
  </si>
  <si>
    <t>СЦ 1999г Гл. 18 т.70 п.84</t>
  </si>
  <si>
    <t>Определение рН</t>
  </si>
  <si>
    <t>СЦ 1999г Гл. 18 т.70 п.14</t>
  </si>
  <si>
    <t>1проба</t>
  </si>
  <si>
    <t>Пробоподготовка для выполнения химических исследований на соли тяжелых металлов</t>
  </si>
  <si>
    <t>СЦ 1999г Гл. 18 т.70 п.85</t>
  </si>
  <si>
    <t>Определение солей тяжелых металлов атомной асорбцией 5 элементов</t>
  </si>
  <si>
    <t>СЦ 1999г Гл. 18 т.70 п.57</t>
  </si>
  <si>
    <t>то же мышьяка ( с использованием РГП)</t>
  </si>
  <si>
    <t>СЦ 1999г Гл. 18 т.70 п.59</t>
  </si>
  <si>
    <t>то же ртути</t>
  </si>
  <si>
    <t>Определение нефтепродуктов</t>
  </si>
  <si>
    <t>СЦ 1999г Гл. 18 т.70 п.63</t>
  </si>
  <si>
    <t>Определение 3,4-бенз(а)-пирена</t>
  </si>
  <si>
    <t>СЦ 1999г Гл. 18 т.70 п.66</t>
  </si>
  <si>
    <t>Итого по анализу почвы</t>
  </si>
  <si>
    <t>Санитарно-химический анализ воды</t>
  </si>
  <si>
    <t xml:space="preserve">Стандартный анализ (типовой) воды </t>
  </si>
  <si>
    <t>СЦ 1999 Гл. 18 т.73 п.2</t>
  </si>
  <si>
    <t>Анализ воды подземных источников хозяйственно-питьевого водоснабжения</t>
  </si>
  <si>
    <t>СЦ 1999 Гл. 18 т.73 п.4</t>
  </si>
  <si>
    <t>Анализ воды поверхностных источников хозяйственно-питьевого снабжения</t>
  </si>
  <si>
    <t>СЦ 1999 Гл. 18 т.73 п.5</t>
  </si>
  <si>
    <t>Сокращенный анализ воды</t>
  </si>
  <si>
    <t>Полный анализ воды</t>
  </si>
  <si>
    <t>СЦ 1999 Гл. 18 т.73 п.1</t>
  </si>
  <si>
    <t>Итого по анализу воды</t>
  </si>
  <si>
    <t xml:space="preserve">Итого лабораторных работ </t>
  </si>
  <si>
    <t xml:space="preserve">Итого с инфляционным индексом:  </t>
  </si>
  <si>
    <t xml:space="preserve">3. Камеральная  обработка  материалов  </t>
  </si>
  <si>
    <t>Обработка комплексных исследований химического состава грунтов</t>
  </si>
  <si>
    <t>СЦ 1999г Гл. 21 т.86 п.4</t>
  </si>
  <si>
    <t>Обработка комплексных исследований химического и бактериологического состава воды</t>
  </si>
  <si>
    <t>СЦ 1999г Гл. 21 т.86 п.5</t>
  </si>
  <si>
    <t>ИТОГО камеральных работ</t>
  </si>
  <si>
    <t>Письмо Минстроя России
№ 13606-ХМ/09 от 04.04.2018</t>
  </si>
  <si>
    <t xml:space="preserve"> 4. С о с т а в л е н и е   т е х н и ч е с к о г о  о т ч е т а  </t>
  </si>
  <si>
    <t>Составление отчета</t>
  </si>
  <si>
    <t>СЦ 1999г Гл. 22 п.5</t>
  </si>
  <si>
    <t xml:space="preserve">ИТОГО по смете </t>
  </si>
  <si>
    <t>Итого по смете с НДС 20%</t>
  </si>
  <si>
    <t>Составил:</t>
  </si>
  <si>
    <t>Проверил:</t>
  </si>
  <si>
    <t>к=60,01 - коэф.инфляции  4 кв. 2022г.</t>
  </si>
  <si>
    <t xml:space="preserve">Письмо Минстроя России
</t>
  </si>
  <si>
    <t>СБЦ на инженерные изыскания для строительства.Инженерно-геодезические изыскания т.21</t>
  </si>
  <si>
    <t xml:space="preserve">Гидрогеологические наблюдения при бурении скважины д до 160мм гл. до 15 м </t>
  </si>
  <si>
    <t>т.18 п.1</t>
  </si>
  <si>
    <t>Отбор монолитов  связных грунтов с глубины до 10м</t>
  </si>
  <si>
    <t>т.57 п.1</t>
  </si>
  <si>
    <t>Отбор проб воды</t>
  </si>
  <si>
    <t>т.60 п.2</t>
  </si>
  <si>
    <t>Расходы по внутреннему транспорту</t>
  </si>
  <si>
    <t>То же</t>
  </si>
  <si>
    <t>Расходы по внешнему транпорту</t>
  </si>
  <si>
    <t>То же ,т.5</t>
  </si>
  <si>
    <t>Расходы на организацию и ликвидацию работ</t>
  </si>
  <si>
    <t>п.13</t>
  </si>
  <si>
    <t>Исследование физ.-мех.свойств глинистых грунтов (лабораторные работы)</t>
  </si>
  <si>
    <t>т.63 п.1</t>
  </si>
  <si>
    <t>Определение физ.-мех.свойств песчаных грунтов (лабораторные работы)</t>
  </si>
  <si>
    <t>т.65 п.1</t>
  </si>
  <si>
    <t>Стандартный хим.анализ воды</t>
  </si>
  <si>
    <t>т.73</t>
  </si>
  <si>
    <t>Коррозионная активность грунтов по отношению к стали</t>
  </si>
  <si>
    <t>т.75 п.4</t>
  </si>
  <si>
    <t>Камеральная обработка данных лабор.исследований глинистых грунтов</t>
  </si>
  <si>
    <t>т.86 п.1</t>
  </si>
  <si>
    <t>Камеральная обработка данных лабор.исследований песчаных грунтов</t>
  </si>
  <si>
    <t>т.86 п.2</t>
  </si>
  <si>
    <t>Камеральная обработка данных лабор.исследований проб воды</t>
  </si>
  <si>
    <t>т.86 п.5</t>
  </si>
  <si>
    <t>Технический отчет</t>
  </si>
  <si>
    <t>т.87п.1</t>
  </si>
  <si>
    <t>Итого базовая цена 1995г.</t>
  </si>
  <si>
    <t>Мех.бурение скважин д146 (35штх15м) Lобщ=525м</t>
  </si>
  <si>
    <t>Расчет №1</t>
  </si>
  <si>
    <t>Примечание</t>
  </si>
  <si>
    <t>1.</t>
  </si>
  <si>
    <t>Создание инженерно-топографических планов в М 1:500 с сечением рельефа 0,5 категория сложности 1 (незастроенная территория)</t>
  </si>
  <si>
    <t>СБЦ на инженерные изыскания для строительства.Инженерно-геодезические изыскания</t>
  </si>
  <si>
    <t>а)полевые</t>
  </si>
  <si>
    <t>б)камеральные</t>
  </si>
  <si>
    <t>2.</t>
  </si>
  <si>
    <t>т.4 п.1</t>
  </si>
  <si>
    <t>3.</t>
  </si>
  <si>
    <t>Расходы по внешнему транспорту</t>
  </si>
  <si>
    <t>То же , т.5  п.1</t>
  </si>
  <si>
    <t xml:space="preserve">                                                                                                                                                                   </t>
  </si>
  <si>
    <t>4.</t>
  </si>
  <si>
    <t>п.13, прим.1</t>
  </si>
  <si>
    <t>Итого базовая цена 2001г.</t>
  </si>
  <si>
    <t>ИТОГО:</t>
  </si>
  <si>
    <t>т.9 п.8</t>
  </si>
  <si>
    <t>Гидрометеорология</t>
  </si>
  <si>
    <t>Экология</t>
  </si>
  <si>
    <t>Геология</t>
  </si>
  <si>
    <t>Геодезия</t>
  </si>
  <si>
    <t>2043*10,8*1,3</t>
  </si>
  <si>
    <t>620*10,8*1,2</t>
  </si>
  <si>
    <t>"П"</t>
  </si>
  <si>
    <t>2001г.</t>
  </si>
  <si>
    <t>изыск</t>
  </si>
  <si>
    <t xml:space="preserve">Экспертиза </t>
  </si>
  <si>
    <t>к=0,24-полнота разработки</t>
  </si>
  <si>
    <t>8,4*525*1,3</t>
  </si>
  <si>
    <t>1,6*35*1,3</t>
  </si>
  <si>
    <t>22,9*35*1,3</t>
  </si>
  <si>
    <t>7,6*35*1,3</t>
  </si>
  <si>
    <t>(5733+73+1042+346)*8,75%</t>
  </si>
  <si>
    <t>(5733+73+1042+346)*14%</t>
  </si>
  <si>
    <t>(5733+73+1042+346+629)*6%*2,5</t>
  </si>
  <si>
    <t>9,7*35</t>
  </si>
  <si>
    <t>45,5*35</t>
  </si>
  <si>
    <t>67,3*35</t>
  </si>
  <si>
    <t>18,2*35</t>
  </si>
  <si>
    <t>340*20%</t>
  </si>
  <si>
    <t>1593*15%</t>
  </si>
  <si>
    <t>2356*15%</t>
  </si>
  <si>
    <t xml:space="preserve">12%*(68+239+353) </t>
  </si>
  <si>
    <t>1226*61,09</t>
  </si>
  <si>
    <t>15755*61,09</t>
  </si>
  <si>
    <t xml:space="preserve">      к=61,09 - коэф.инфляции  1 кв 2023г.</t>
  </si>
  <si>
    <t xml:space="preserve"> к=5,36 - коэф.инфляции 1кв.2023г.</t>
  </si>
  <si>
    <t>т.5 п.5</t>
  </si>
  <si>
    <t>т.5 п.7</t>
  </si>
  <si>
    <t>ТП-10/0,4 кВ-3 шт.</t>
  </si>
  <si>
    <t>РП 10кВ-1 шт.</t>
  </si>
  <si>
    <t>(500+500*2)*40,71/1000</t>
  </si>
  <si>
    <t>(8+0,062*0,95)*5,32</t>
  </si>
  <si>
    <t>(10,41+0,53*12)*5,32*0,41</t>
  </si>
  <si>
    <t>3730 м2</t>
  </si>
  <si>
    <t>т.21 п.13</t>
  </si>
  <si>
    <t>Расчет токов короткого замыкания</t>
  </si>
  <si>
    <t>т.5 п.18</t>
  </si>
  <si>
    <t>43,2*0,4+58,6*0,6=36</t>
  </si>
  <si>
    <t>63,2*0,4+67,12*0,6=66</t>
  </si>
  <si>
    <t>81,23*5,32*66%</t>
  </si>
  <si>
    <t>(32,24+0,239*120)*5,32*8%</t>
  </si>
  <si>
    <t>4,3*0,4+9,8*0,6=8%</t>
  </si>
  <si>
    <t>к=0,8-полнота разработки</t>
  </si>
  <si>
    <t>Ст-ть, тыс.руб.</t>
  </si>
  <si>
    <t>((614,01+0,101*(0,4*3200+0,6*3730))*5,32*0,36</t>
  </si>
  <si>
    <t>"Р"=  (техн.17*0,2,арх-50*0,2+автом8*0,2+водопр.к3*0,2,отопл.вент 8*0,2,эл 12*0,2,св-2)</t>
  </si>
  <si>
    <t>"П"=  (техн.16,тэч-2,авт.-8,арх-41*0,9,водопр.к3,отопл.вент 8,эл 11,св-2,см-9)</t>
  </si>
  <si>
    <t>"Р"=  (техн.17,авт.-8,арх-50*0,9,водопр.к3,отопл.вент 8,эл 12,св-2)</t>
  </si>
  <si>
    <t>Инженерно-гидрометеорологические изыскания</t>
  </si>
  <si>
    <t>расчет №1</t>
  </si>
  <si>
    <t>Расчет №2</t>
  </si>
  <si>
    <t>расчет №2</t>
  </si>
  <si>
    <t>расчет №3</t>
  </si>
  <si>
    <t>расчет №4</t>
  </si>
  <si>
    <t>Инженерно-экологические изыскания</t>
  </si>
  <si>
    <t>Инженерно-геологические изыскания</t>
  </si>
  <si>
    <t>Инженерно-геодезические изыскания</t>
  </si>
  <si>
    <t>10,508 тыс.м2</t>
  </si>
  <si>
    <t>10,963 тыс.м2</t>
  </si>
  <si>
    <t>6,649 м2</t>
  </si>
  <si>
    <t>7,805м2</t>
  </si>
  <si>
    <t xml:space="preserve"> "Р"=39 ((10+33)*0,2арх.,3-водоотв.20-технол.,7,4-см)</t>
  </si>
  <si>
    <t xml:space="preserve">Постановление Правительства РФ от 05.03.2007г.  №145 </t>
  </si>
  <si>
    <t>Материальный склад закрытый-                                          6,9 тыс.м2</t>
  </si>
  <si>
    <t>Расчет №3</t>
  </si>
  <si>
    <t>Расчет №4</t>
  </si>
  <si>
    <t>28,4*0,4+21,6*0,6=24</t>
  </si>
  <si>
    <t>(247,8+62,4*6,9)*5,32*0,9*0,24</t>
  </si>
  <si>
    <t>к=0,9- для невзрывоопасных объектов (сборник разъяснений по применению  СБЦ)</t>
  </si>
  <si>
    <t>(247,8+62,4*4,32)*5,32*0,9</t>
  </si>
  <si>
    <t>142,95*5,32*0,9*0,8</t>
  </si>
  <si>
    <t>4,8*5,32*0,9</t>
  </si>
  <si>
    <t>к=0,9- для невзрывоопасных объектов</t>
  </si>
  <si>
    <t>"Р"= 9,8   (0,1-проект по демонтажу,9,7см)</t>
  </si>
  <si>
    <t>"П"= 4,3     (0,6-проект по демонтажу,3,7-см)</t>
  </si>
  <si>
    <t>202,8*5,32*0,9*3*(0,8+0,5+0,5)</t>
  </si>
  <si>
    <t>"П"=  (техн.16,тэч-2,авт.-8,арх-41*0,85,водопр.к3,отопл.вент 8,эл 11,св-2,см-9)</t>
  </si>
  <si>
    <t>"Р"=  (техн.17,авт.-8,арх-50*0,85,водопр.к3,отопл.вент 8,эл 12,св-2)</t>
  </si>
  <si>
    <t>93,9*0,4+92,5*0,6=93%</t>
  </si>
  <si>
    <t>(247,8+62,4*6,649)*5,32*0,9*0,93</t>
  </si>
  <si>
    <t>(247,8+62,4*7,805)*5,32*0,9*0,93</t>
  </si>
  <si>
    <t>(247,8+62,4*10,508)*5,32*0,9*0,96</t>
  </si>
  <si>
    <t>(247,8+62,4*10,963)*5,32*0,9*0,96</t>
  </si>
  <si>
    <t>96*0,4+95*0,6=96%</t>
  </si>
  <si>
    <t>к=0,96-полнота разработки</t>
  </si>
  <si>
    <t>Установка камер</t>
  </si>
  <si>
    <t>т.20 п.7</t>
  </si>
  <si>
    <t>(35,61+4,57*2)*5,32*0,25</t>
  </si>
  <si>
    <t>к=0,25-привязка</t>
  </si>
  <si>
    <t>к=0,93-полнота разработки</t>
  </si>
  <si>
    <t>28683,72*8,75%</t>
  </si>
  <si>
    <t xml:space="preserve">(28683,72+2509,8)*14% </t>
  </si>
  <si>
    <t>(28683,72+2509,8)*6%*2</t>
  </si>
  <si>
    <t>47339,1*5,36</t>
  </si>
  <si>
    <t>10,8 га</t>
  </si>
  <si>
    <t>РАСЧЕТ</t>
  </si>
  <si>
    <t xml:space="preserve"> начальной (максимальной) цены  на выполнение проектно-изыскательских работ работ по  реконструкции объекта :"Производственный комплекс для размещения резидентов, расположенный по адресу : Липецкая область, Грязинский район, город Грязи, территория ОЭЗ ППТ Липецк, строение 43 ( корпус 1,3,4,5,6,7,8)</t>
  </si>
  <si>
    <t xml:space="preserve"> начальной (максимальной) цены  на выполнение проектно-изыскательских работ по реконструкции  объекта :"Производственный комплекс для размещения резидентов, расположенный по адресу : Липецкая область, Грязинский район, город Грязи, территория ОЭЗ ППТ Липецк, строение 43 ( корпус 1,3,4,5,6,7,8)</t>
  </si>
  <si>
    <t xml:space="preserve"> начальной (максимальной) цены  на выполнение проектно-изыскательских работ по реконструкции  объекта:"Производственный комплекс для размещения резидентов, расположенный по адресу : Липецкая область, Грязинский район, город Грязи, территория ОЭЗ ППТ Липецк,                                               строение 43 ( корпус 1,3,4,5,6,7,8)</t>
  </si>
  <si>
    <t xml:space="preserve"> начальной (максимальной) цены  на выполнение проектно-изыскательских работ по  реконструкции объекта :"Производственный комплекс для размещения резидентов, расположенный по адресу : Липецкая область, Грязинский район, город Грязи,территория                                                   ОЭЗ ППТ Липецк, строение 43 ( корпус 1,3,4,5,6,7,8)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</si>
</sst>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"/>
    <numFmt numFmtId="165" formatCode="0.000"/>
    <numFmt numFmtId="166" formatCode="_-* #,##0.00000_р_._-;\-* #,##0.00000_р_._-;_-* &quot;-&quot;?????_р_._-;_-@_-"/>
    <numFmt numFmtId="167" formatCode="0.0000000000"/>
    <numFmt numFmtId="168" formatCode="0.0000"/>
    <numFmt numFmtId="169" formatCode="0.0"/>
    <numFmt numFmtId="170" formatCode="0;[Red]0"/>
    <numFmt numFmtId="171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 Cyr"/>
      <family val="2"/>
      <charset val="204"/>
    </font>
    <font>
      <sz val="10"/>
      <color rgb="FFFF0000"/>
      <name val="Arial Cyr"/>
      <charset val="204"/>
    </font>
    <font>
      <b/>
      <i/>
      <sz val="11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color theme="1"/>
      <name val="Times New Roman"/>
      <family val="2"/>
      <charset val="204"/>
    </font>
    <font>
      <b/>
      <sz val="10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1">
      <alignment horizontal="center" vertical="center"/>
    </xf>
    <xf numFmtId="0" fontId="3" fillId="0" borderId="3">
      <alignment horizontal="center" vertical="center"/>
    </xf>
    <xf numFmtId="0" fontId="3" fillId="0" borderId="0">
      <alignment horizontal="right" vertical="top"/>
    </xf>
    <xf numFmtId="0" fontId="1" fillId="0" borderId="0"/>
    <xf numFmtId="0" fontId="4" fillId="0" borderId="0"/>
  </cellStyleXfs>
  <cellXfs count="342">
    <xf numFmtId="0" fontId="0" fillId="0" borderId="0" xfId="0"/>
    <xf numFmtId="166" fontId="9" fillId="3" borderId="0" xfId="0" applyNumberFormat="1" applyFont="1" applyFill="1"/>
    <xf numFmtId="0" fontId="9" fillId="3" borderId="1" xfId="0" applyFont="1" applyFill="1" applyBorder="1" applyAlignment="1">
      <alignment wrapText="1"/>
    </xf>
    <xf numFmtId="0" fontId="0" fillId="0" borderId="0" xfId="0" applyBorder="1"/>
    <xf numFmtId="0" fontId="6" fillId="3" borderId="0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wrapText="1"/>
    </xf>
    <xf numFmtId="0" fontId="5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6" fillId="3" borderId="0" xfId="0" applyFont="1" applyFill="1" applyBorder="1"/>
    <xf numFmtId="0" fontId="6" fillId="3" borderId="0" xfId="0" applyFont="1" applyFill="1"/>
    <xf numFmtId="4" fontId="0" fillId="0" borderId="0" xfId="0" applyNumberFormat="1"/>
    <xf numFmtId="0" fontId="9" fillId="3" borderId="3" xfId="0" applyFont="1" applyFill="1" applyBorder="1" applyAlignment="1">
      <alignment wrapText="1"/>
    </xf>
    <xf numFmtId="4" fontId="9" fillId="3" borderId="6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4" fontId="9" fillId="3" borderId="4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/>
    <xf numFmtId="0" fontId="6" fillId="3" borderId="0" xfId="0" applyFont="1" applyFill="1" applyAlignment="1"/>
    <xf numFmtId="0" fontId="18" fillId="0" borderId="0" xfId="1" applyFont="1" applyFill="1" applyAlignment="1">
      <alignment vertical="center"/>
    </xf>
    <xf numFmtId="0" fontId="7" fillId="3" borderId="7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11" fillId="3" borderId="6" xfId="0" applyFont="1" applyFill="1" applyBorder="1" applyAlignment="1">
      <alignment wrapText="1"/>
    </xf>
    <xf numFmtId="1" fontId="6" fillId="3" borderId="4" xfId="0" applyNumberFormat="1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/>
    </xf>
    <xf numFmtId="0" fontId="5" fillId="3" borderId="6" xfId="0" applyFont="1" applyFill="1" applyBorder="1" applyAlignment="1">
      <alignment vertical="top" wrapText="1"/>
    </xf>
    <xf numFmtId="1" fontId="6" fillId="3" borderId="6" xfId="0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5" fillId="3" borderId="4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9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11" fillId="3" borderId="5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vertical="top" wrapText="1"/>
    </xf>
    <xf numFmtId="1" fontId="6" fillId="3" borderId="0" xfId="0" applyNumberFormat="1" applyFont="1" applyFill="1"/>
    <xf numFmtId="1" fontId="14" fillId="3" borderId="0" xfId="0" applyNumberFormat="1" applyFont="1" applyFill="1"/>
    <xf numFmtId="4" fontId="6" fillId="3" borderId="0" xfId="0" applyNumberFormat="1" applyFont="1" applyFill="1"/>
    <xf numFmtId="2" fontId="6" fillId="3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/>
    <xf numFmtId="0" fontId="2" fillId="3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2" fillId="0" borderId="0" xfId="0" applyFont="1"/>
    <xf numFmtId="0" fontId="23" fillId="3" borderId="1" xfId="0" applyFont="1" applyFill="1" applyBorder="1" applyAlignment="1">
      <alignment horizontal="left" wrapText="1"/>
    </xf>
    <xf numFmtId="169" fontId="2" fillId="0" borderId="1" xfId="0" applyNumberFormat="1" applyFont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169" fontId="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3" fontId="21" fillId="0" borderId="1" xfId="0" applyNumberFormat="1" applyFont="1" applyBorder="1" applyAlignment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/>
    <xf numFmtId="0" fontId="20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3" fontId="24" fillId="3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left"/>
    </xf>
    <xf numFmtId="0" fontId="2" fillId="0" borderId="1" xfId="0" applyFont="1" applyBorder="1" applyAlignment="1"/>
    <xf numFmtId="1" fontId="2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/>
    <xf numFmtId="3" fontId="26" fillId="0" borderId="1" xfId="0" applyNumberFormat="1" applyFont="1" applyBorder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9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3" fontId="26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/>
    <xf numFmtId="1" fontId="21" fillId="3" borderId="1" xfId="0" applyNumberFormat="1" applyFont="1" applyFill="1" applyBorder="1" applyAlignment="1">
      <alignment horizontal="right"/>
    </xf>
    <xf numFmtId="9" fontId="2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/>
    </xf>
    <xf numFmtId="3" fontId="27" fillId="0" borderId="1" xfId="0" applyNumberFormat="1" applyFont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/>
    <xf numFmtId="0" fontId="0" fillId="0" borderId="0" xfId="0" applyAlignment="1">
      <alignment horizontal="center" vertical="center"/>
    </xf>
    <xf numFmtId="2" fontId="0" fillId="0" borderId="0" xfId="0" applyNumberFormat="1" applyAlignment="1"/>
    <xf numFmtId="0" fontId="0" fillId="0" borderId="0" xfId="0" applyFill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wrapText="1"/>
    </xf>
    <xf numFmtId="1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wrapText="1"/>
    </xf>
    <xf numFmtId="1" fontId="0" fillId="0" borderId="1" xfId="0" applyNumberFormat="1" applyFill="1" applyBorder="1" applyAlignment="1">
      <alignment vertical="top" wrapText="1"/>
    </xf>
    <xf numFmtId="0" fontId="0" fillId="0" borderId="6" xfId="0" applyFill="1" applyBorder="1" applyAlignment="1">
      <alignment vertical="top"/>
    </xf>
    <xf numFmtId="0" fontId="15" fillId="0" borderId="6" xfId="0" applyFont="1" applyFill="1" applyBorder="1" applyAlignment="1">
      <alignment vertical="top" wrapText="1"/>
    </xf>
    <xf numFmtId="1" fontId="0" fillId="0" borderId="6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/>
    </xf>
    <xf numFmtId="0" fontId="15" fillId="0" borderId="4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vertical="top" wrapText="1"/>
    </xf>
    <xf numFmtId="1" fontId="0" fillId="0" borderId="5" xfId="0" applyNumberFormat="1" applyFill="1" applyBorder="1" applyAlignment="1">
      <alignment vertical="top" wrapText="1"/>
    </xf>
    <xf numFmtId="0" fontId="13" fillId="0" borderId="6" xfId="0" applyFont="1" applyFill="1" applyBorder="1" applyAlignment="1">
      <alignment wrapText="1"/>
    </xf>
    <xf numFmtId="1" fontId="0" fillId="0" borderId="6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3" fillId="0" borderId="11" xfId="0" applyFont="1" applyFill="1" applyBorder="1" applyAlignment="1">
      <alignment wrapText="1"/>
    </xf>
    <xf numFmtId="0" fontId="0" fillId="0" borderId="0" xfId="0" applyFill="1" applyBorder="1"/>
    <xf numFmtId="0" fontId="13" fillId="0" borderId="3" xfId="0" applyFont="1" applyFill="1" applyBorder="1" applyAlignment="1">
      <alignment wrapText="1"/>
    </xf>
    <xf numFmtId="2" fontId="0" fillId="0" borderId="1" xfId="0" applyNumberFormat="1" applyFill="1" applyBorder="1" applyAlignment="1">
      <alignment vertical="top" wrapText="1"/>
    </xf>
    <xf numFmtId="0" fontId="0" fillId="0" borderId="1" xfId="0" applyFill="1" applyBorder="1"/>
    <xf numFmtId="169" fontId="0" fillId="0" borderId="1" xfId="0" applyNumberFormat="1" applyFill="1" applyBorder="1" applyAlignment="1">
      <alignment vertical="top" wrapText="1"/>
    </xf>
    <xf numFmtId="1" fontId="0" fillId="0" borderId="1" xfId="0" applyNumberFormat="1" applyFill="1" applyBorder="1" applyAlignment="1">
      <alignment wrapText="1"/>
    </xf>
    <xf numFmtId="1" fontId="0" fillId="0" borderId="0" xfId="0" applyNumberFormat="1" applyFill="1"/>
    <xf numFmtId="0" fontId="1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top" wrapText="1"/>
    </xf>
    <xf numFmtId="1" fontId="12" fillId="0" borderId="0" xfId="0" applyNumberFormat="1" applyFont="1" applyFill="1"/>
    <xf numFmtId="4" fontId="0" fillId="0" borderId="0" xfId="0" applyNumberFormat="1" applyFill="1"/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6" xfId="0" applyBorder="1"/>
    <xf numFmtId="0" fontId="13" fillId="0" borderId="17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170" fontId="0" fillId="0" borderId="17" xfId="0" applyNumberFormat="1" applyBorder="1" applyAlignment="1">
      <alignment vertical="top" wrapText="1"/>
    </xf>
    <xf numFmtId="0" fontId="0" fillId="0" borderId="19" xfId="0" applyBorder="1"/>
    <xf numFmtId="0" fontId="1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170" fontId="0" fillId="0" borderId="4" xfId="0" applyNumberFormat="1" applyBorder="1" applyAlignment="1">
      <alignment vertical="top" wrapText="1"/>
    </xf>
    <xf numFmtId="4" fontId="0" fillId="0" borderId="4" xfId="0" applyNumberFormat="1" applyBorder="1" applyAlignment="1">
      <alignment vertical="top" wrapText="1"/>
    </xf>
    <xf numFmtId="0" fontId="0" fillId="0" borderId="21" xfId="0" applyBorder="1"/>
    <xf numFmtId="0" fontId="15" fillId="0" borderId="6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171" fontId="0" fillId="3" borderId="5" xfId="0" applyNumberFormat="1" applyFont="1" applyFill="1" applyBorder="1" applyAlignment="1">
      <alignment vertical="top" wrapText="1"/>
    </xf>
    <xf numFmtId="0" fontId="15" fillId="0" borderId="0" xfId="0" applyFont="1"/>
    <xf numFmtId="0" fontId="0" fillId="0" borderId="24" xfId="0" applyBorder="1"/>
    <xf numFmtId="0" fontId="13" fillId="0" borderId="6" xfId="0" applyFont="1" applyBorder="1" applyAlignment="1">
      <alignment wrapText="1"/>
    </xf>
    <xf numFmtId="4" fontId="0" fillId="0" borderId="6" xfId="0" applyNumberFormat="1" applyFont="1" applyBorder="1" applyAlignment="1">
      <alignment vertical="top" wrapText="1"/>
    </xf>
    <xf numFmtId="171" fontId="0" fillId="3" borderId="6" xfId="0" applyNumberFormat="1" applyFont="1" applyFill="1" applyBorder="1" applyAlignment="1">
      <alignment vertical="top" wrapText="1"/>
    </xf>
    <xf numFmtId="0" fontId="0" fillId="0" borderId="25" xfId="0" applyBorder="1"/>
    <xf numFmtId="4" fontId="0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0" fontId="0" fillId="0" borderId="26" xfId="0" applyBorder="1" applyAlignment="1">
      <alignment wrapText="1"/>
    </xf>
    <xf numFmtId="1" fontId="0" fillId="0" borderId="0" xfId="0" applyNumberFormat="1"/>
    <xf numFmtId="0" fontId="17" fillId="0" borderId="1" xfId="0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12" fillId="3" borderId="1" xfId="0" applyNumberFormat="1" applyFont="1" applyFill="1" applyBorder="1" applyAlignment="1">
      <alignment vertical="top" wrapText="1"/>
    </xf>
    <xf numFmtId="4" fontId="0" fillId="0" borderId="0" xfId="0" applyNumberFormat="1" applyBorder="1"/>
    <xf numFmtId="0" fontId="17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0" fillId="0" borderId="27" xfId="0" applyBorder="1"/>
    <xf numFmtId="0" fontId="17" fillId="0" borderId="28" xfId="0" applyFont="1" applyFill="1" applyBorder="1" applyAlignment="1">
      <alignment vertical="top" wrapText="1"/>
    </xf>
    <xf numFmtId="0" fontId="13" fillId="0" borderId="28" xfId="0" applyFont="1" applyBorder="1" applyAlignment="1">
      <alignment wrapText="1"/>
    </xf>
    <xf numFmtId="4" fontId="0" fillId="0" borderId="28" xfId="0" applyNumberFormat="1" applyFont="1" applyBorder="1" applyAlignment="1">
      <alignment wrapText="1"/>
    </xf>
    <xf numFmtId="4" fontId="12" fillId="0" borderId="28" xfId="0" applyNumberFormat="1" applyFont="1" applyBorder="1" applyAlignment="1">
      <alignment wrapText="1"/>
    </xf>
    <xf numFmtId="0" fontId="0" fillId="0" borderId="29" xfId="0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top" wrapText="1"/>
    </xf>
    <xf numFmtId="4" fontId="9" fillId="3" borderId="4" xfId="0" applyNumberFormat="1" applyFont="1" applyFill="1" applyBorder="1"/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5" fillId="3" borderId="6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wrapText="1"/>
    </xf>
    <xf numFmtId="0" fontId="9" fillId="3" borderId="11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/>
    <xf numFmtId="166" fontId="9" fillId="3" borderId="0" xfId="0" applyNumberFormat="1" applyFont="1" applyFill="1" applyAlignment="1">
      <alignment horizontal="left"/>
    </xf>
    <xf numFmtId="166" fontId="9" fillId="3" borderId="0" xfId="0" applyNumberFormat="1" applyFont="1" applyFill="1" applyAlignment="1"/>
    <xf numFmtId="2" fontId="9" fillId="3" borderId="0" xfId="0" applyNumberFormat="1" applyFont="1" applyFill="1"/>
    <xf numFmtId="2" fontId="6" fillId="3" borderId="0" xfId="0" applyNumberFormat="1" applyFont="1" applyFill="1"/>
    <xf numFmtId="0" fontId="0" fillId="0" borderId="0" xfId="0" applyFill="1" applyAlignment="1">
      <alignment horizontal="center"/>
    </xf>
    <xf numFmtId="4" fontId="9" fillId="3" borderId="0" xfId="0" applyNumberFormat="1" applyFont="1" applyFill="1" applyBorder="1"/>
    <xf numFmtId="165" fontId="6" fillId="3" borderId="0" xfId="0" applyNumberFormat="1" applyFont="1" applyFill="1"/>
    <xf numFmtId="0" fontId="6" fillId="3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wrapText="1"/>
    </xf>
    <xf numFmtId="0" fontId="6" fillId="3" borderId="10" xfId="0" applyFont="1" applyFill="1" applyBorder="1" applyAlignment="1">
      <alignment wrapText="1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/>
    <xf numFmtId="0" fontId="10" fillId="3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2" fontId="5" fillId="3" borderId="0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center" wrapText="1"/>
    </xf>
    <xf numFmtId="2" fontId="11" fillId="3" borderId="0" xfId="0" applyNumberFormat="1" applyFont="1" applyFill="1" applyBorder="1" applyAlignment="1">
      <alignment horizontal="right" wrapText="1"/>
    </xf>
    <xf numFmtId="2" fontId="11" fillId="3" borderId="1" xfId="0" applyNumberFormat="1" applyFont="1" applyFill="1" applyBorder="1" applyAlignment="1">
      <alignment horizontal="center" wrapText="1"/>
    </xf>
    <xf numFmtId="167" fontId="11" fillId="3" borderId="0" xfId="0" applyNumberFormat="1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wrapText="1"/>
    </xf>
    <xf numFmtId="164" fontId="6" fillId="3" borderId="0" xfId="0" applyNumberFormat="1" applyFont="1" applyFill="1" applyBorder="1"/>
    <xf numFmtId="166" fontId="6" fillId="3" borderId="0" xfId="0" applyNumberFormat="1" applyFont="1" applyFill="1"/>
    <xf numFmtId="0" fontId="10" fillId="3" borderId="7" xfId="0" applyFont="1" applyFill="1" applyBorder="1" applyAlignment="1">
      <alignment horizontal="right" wrapText="1"/>
    </xf>
    <xf numFmtId="165" fontId="10" fillId="3" borderId="0" xfId="0" applyNumberFormat="1" applyFont="1" applyFill="1" applyBorder="1" applyAlignment="1">
      <alignment horizontal="right" wrapText="1"/>
    </xf>
    <xf numFmtId="165" fontId="10" fillId="3" borderId="7" xfId="0" applyNumberFormat="1" applyFont="1" applyFill="1" applyBorder="1" applyAlignment="1">
      <alignment horizontal="right" wrapText="1"/>
    </xf>
    <xf numFmtId="0" fontId="10" fillId="3" borderId="10" xfId="0" applyFont="1" applyFill="1" applyBorder="1" applyAlignment="1">
      <alignment horizontal="right" wrapText="1"/>
    </xf>
    <xf numFmtId="2" fontId="6" fillId="3" borderId="4" xfId="0" applyNumberFormat="1" applyFont="1" applyFill="1" applyBorder="1"/>
    <xf numFmtId="2" fontId="9" fillId="3" borderId="4" xfId="0" applyNumberFormat="1" applyFont="1" applyFill="1" applyBorder="1"/>
    <xf numFmtId="2" fontId="9" fillId="3" borderId="4" xfId="0" applyNumberFormat="1" applyFont="1" applyFill="1" applyBorder="1" applyAlignment="1">
      <alignment wrapText="1"/>
    </xf>
    <xf numFmtId="2" fontId="16" fillId="3" borderId="4" xfId="0" applyNumberFormat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right" wrapText="1"/>
    </xf>
    <xf numFmtId="169" fontId="10" fillId="3" borderId="7" xfId="0" applyNumberFormat="1" applyFont="1" applyFill="1" applyBorder="1" applyAlignment="1">
      <alignment horizontal="right" wrapText="1"/>
    </xf>
    <xf numFmtId="0" fontId="16" fillId="0" borderId="0" xfId="0" applyFont="1" applyAlignment="1">
      <alignment vertical="center" wrapText="1"/>
    </xf>
    <xf numFmtId="4" fontId="16" fillId="3" borderId="5" xfId="0" applyNumberFormat="1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top" wrapText="1"/>
    </xf>
    <xf numFmtId="2" fontId="9" fillId="3" borderId="6" xfId="0" applyNumberFormat="1" applyFont="1" applyFill="1" applyBorder="1" applyAlignment="1">
      <alignment wrapText="1"/>
    </xf>
    <xf numFmtId="0" fontId="9" fillId="3" borderId="5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2" fontId="6" fillId="3" borderId="5" xfId="0" applyNumberFormat="1" applyFont="1" applyFill="1" applyBorder="1"/>
    <xf numFmtId="2" fontId="6" fillId="3" borderId="6" xfId="0" applyNumberFormat="1" applyFont="1" applyFill="1" applyBorder="1"/>
    <xf numFmtId="0" fontId="6" fillId="3" borderId="4" xfId="0" applyFont="1" applyFill="1" applyBorder="1"/>
    <xf numFmtId="0" fontId="6" fillId="3" borderId="6" xfId="0" applyFont="1" applyFill="1" applyBorder="1"/>
    <xf numFmtId="4" fontId="9" fillId="3" borderId="5" xfId="0" applyNumberFormat="1" applyFont="1" applyFill="1" applyBorder="1"/>
    <xf numFmtId="0" fontId="32" fillId="3" borderId="4" xfId="0" applyFont="1" applyFill="1" applyBorder="1" applyAlignment="1">
      <alignment horizontal="left" vertical="top" wrapText="1"/>
    </xf>
    <xf numFmtId="0" fontId="33" fillId="3" borderId="5" xfId="0" applyFont="1" applyFill="1" applyBorder="1" applyAlignment="1">
      <alignment wrapText="1"/>
    </xf>
    <xf numFmtId="0" fontId="33" fillId="3" borderId="4" xfId="0" applyFont="1" applyFill="1" applyBorder="1" applyAlignment="1">
      <alignment wrapText="1"/>
    </xf>
    <xf numFmtId="0" fontId="15" fillId="0" borderId="5" xfId="0" applyFont="1" applyFill="1" applyBorder="1" applyAlignment="1">
      <alignment vertical="top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" fontId="0" fillId="0" borderId="5" xfId="0" applyNumberFormat="1" applyBorder="1" applyAlignment="1">
      <alignment vertical="top" wrapText="1"/>
    </xf>
    <xf numFmtId="4" fontId="0" fillId="0" borderId="4" xfId="0" applyNumberFormat="1" applyFont="1" applyBorder="1" applyAlignment="1">
      <alignment vertical="top" wrapText="1"/>
    </xf>
    <xf numFmtId="171" fontId="0" fillId="0" borderId="4" xfId="0" applyNumberFormat="1" applyFont="1" applyBorder="1" applyAlignment="1">
      <alignment vertical="top" wrapText="1"/>
    </xf>
    <xf numFmtId="0" fontId="0" fillId="0" borderId="23" xfId="0" applyBorder="1" applyAlignment="1">
      <alignment horizontal="center" wrapText="1"/>
    </xf>
    <xf numFmtId="2" fontId="9" fillId="3" borderId="5" xfId="0" applyNumberFormat="1" applyFont="1" applyFill="1" applyBorder="1" applyAlignment="1">
      <alignment wrapText="1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/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5" fillId="0" borderId="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2" fontId="0" fillId="0" borderId="6" xfId="0" applyNumberFormat="1" applyFill="1" applyBorder="1" applyAlignment="1">
      <alignment vertical="top" wrapText="1"/>
    </xf>
    <xf numFmtId="1" fontId="0" fillId="0" borderId="5" xfId="0" applyNumberFormat="1" applyFill="1" applyBorder="1" applyAlignment="1">
      <alignment vertical="top" wrapText="1"/>
    </xf>
    <xf numFmtId="1" fontId="0" fillId="0" borderId="6" xfId="0" applyNumberFormat="1" applyFill="1" applyBorder="1" applyAlignment="1">
      <alignment vertical="top" wrapText="1"/>
    </xf>
    <xf numFmtId="0" fontId="30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4" fontId="0" fillId="0" borderId="5" xfId="0" applyNumberFormat="1" applyBorder="1" applyAlignment="1">
      <alignment vertical="top" wrapText="1"/>
    </xf>
    <xf numFmtId="4" fontId="0" fillId="0" borderId="4" xfId="0" applyNumberFormat="1" applyFont="1" applyBorder="1" applyAlignment="1">
      <alignment vertical="top" wrapText="1"/>
    </xf>
    <xf numFmtId="171" fontId="0" fillId="0" borderId="5" xfId="0" applyNumberFormat="1" applyFont="1" applyBorder="1" applyAlignment="1">
      <alignment vertical="top" wrapText="1"/>
    </xf>
    <xf numFmtId="171" fontId="0" fillId="0" borderId="4" xfId="0" applyNumberFormat="1" applyFont="1" applyBorder="1" applyAlignment="1">
      <alignment vertical="top" wrapText="1"/>
    </xf>
    <xf numFmtId="0" fontId="0" fillId="0" borderId="23" xfId="0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/>
    </xf>
  </cellXfs>
  <cellStyles count="11">
    <cellStyle name="S0" xfId="2"/>
    <cellStyle name="S12" xfId="4"/>
    <cellStyle name="S14" xfId="3"/>
    <cellStyle name="S16" xfId="5"/>
    <cellStyle name="S17" xfId="6"/>
    <cellStyle name="S18" xfId="7"/>
    <cellStyle name="S22" xfId="8"/>
    <cellStyle name="Обычный" xfId="0" builtinId="0"/>
    <cellStyle name="Обычный 2" xfId="9"/>
    <cellStyle name="Обычный 2 2" xfId="1"/>
    <cellStyle name="Обычный 3" xfId="10"/>
  </cellStyles>
  <dxfs count="0"/>
  <tableStyles count="0" defaultTableStyle="TableStyleMedium9" defaultPivotStyle="PivotStyleLight16"/>
  <colors>
    <mruColors>
      <color rgb="FF8B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view="pageBreakPreview" topLeftCell="A37" zoomScale="60" zoomScaleNormal="80" workbookViewId="0">
      <selection activeCell="F1" sqref="F1:T1048576"/>
    </sheetView>
  </sheetViews>
  <sheetFormatPr defaultRowHeight="15" outlineLevelCol="1" x14ac:dyDescent="0.25"/>
  <cols>
    <col min="1" max="1" width="5.7109375" style="11" customWidth="1"/>
    <col min="2" max="2" width="46.140625" style="11" customWidth="1"/>
    <col min="3" max="3" width="77.140625" style="11" customWidth="1"/>
    <col min="4" max="4" width="49.85546875" style="11" customWidth="1" outlineLevel="1"/>
    <col min="5" max="5" width="20.28515625" style="11" customWidth="1"/>
    <col min="6" max="6" width="18.28515625" style="11" hidden="1" customWidth="1"/>
    <col min="7" max="7" width="10.28515625" style="11" hidden="1" customWidth="1"/>
    <col min="8" max="11" width="9.140625" style="11" hidden="1" customWidth="1"/>
    <col min="12" max="12" width="13.85546875" style="11" hidden="1" customWidth="1"/>
    <col min="13" max="20" width="9.140625" style="11" hidden="1" customWidth="1"/>
    <col min="21" max="16384" width="9.140625" style="11"/>
  </cols>
  <sheetData>
    <row r="1" spans="1:18" ht="18.75" x14ac:dyDescent="0.25">
      <c r="A1" s="232"/>
      <c r="B1" s="232"/>
      <c r="C1" s="232"/>
      <c r="D1" s="233" t="s">
        <v>6</v>
      </c>
      <c r="E1" s="232"/>
      <c r="F1" s="242"/>
      <c r="G1" s="242"/>
    </row>
    <row r="2" spans="1:18" ht="18.75" x14ac:dyDescent="0.25">
      <c r="A2" s="232"/>
      <c r="B2" s="232"/>
      <c r="C2" s="341" t="s">
        <v>327</v>
      </c>
      <c r="D2" s="233"/>
      <c r="E2" s="232"/>
      <c r="F2" s="242"/>
      <c r="G2" s="242"/>
    </row>
    <row r="3" spans="1:18" ht="50.25" customHeight="1" x14ac:dyDescent="0.25">
      <c r="A3" s="298" t="s">
        <v>328</v>
      </c>
      <c r="B3" s="298"/>
      <c r="C3" s="298"/>
      <c r="D3" s="298"/>
      <c r="E3" s="298"/>
      <c r="F3" s="10"/>
      <c r="G3" s="10"/>
    </row>
    <row r="4" spans="1:18" ht="14.25" customHeight="1" x14ac:dyDescent="0.25">
      <c r="B4" s="10"/>
      <c r="C4" s="10"/>
      <c r="D4" s="10"/>
      <c r="E4" s="4"/>
      <c r="F4" s="243"/>
      <c r="G4" s="244"/>
      <c r="H4" s="245" t="s">
        <v>14</v>
      </c>
      <c r="I4" s="245" t="s">
        <v>30</v>
      </c>
      <c r="J4" s="245" t="s">
        <v>15</v>
      </c>
      <c r="K4" s="245" t="s">
        <v>16</v>
      </c>
      <c r="L4" s="245" t="s">
        <v>31</v>
      </c>
      <c r="M4" s="245" t="s">
        <v>25</v>
      </c>
      <c r="N4" s="245" t="s">
        <v>7</v>
      </c>
      <c r="O4" s="245" t="s">
        <v>8</v>
      </c>
      <c r="P4" s="245" t="s">
        <v>29</v>
      </c>
      <c r="Q4" s="246"/>
      <c r="R4" s="246"/>
    </row>
    <row r="5" spans="1:18" ht="90" customHeight="1" x14ac:dyDescent="0.25">
      <c r="A5" s="214" t="s">
        <v>0</v>
      </c>
      <c r="B5" s="215" t="s">
        <v>1</v>
      </c>
      <c r="C5" s="216" t="s">
        <v>2</v>
      </c>
      <c r="D5" s="216" t="s">
        <v>3</v>
      </c>
      <c r="E5" s="214" t="s">
        <v>275</v>
      </c>
      <c r="F5" s="249">
        <f>Q5*0.4</f>
        <v>22.62</v>
      </c>
      <c r="G5" s="4" t="s">
        <v>9</v>
      </c>
      <c r="H5" s="10">
        <v>28</v>
      </c>
      <c r="I5" s="10">
        <v>2</v>
      </c>
      <c r="J5" s="10">
        <v>4.7</v>
      </c>
      <c r="K5" s="10">
        <f>31*0.2</f>
        <v>6.2</v>
      </c>
      <c r="L5" s="10">
        <v>13.7</v>
      </c>
      <c r="M5" s="10">
        <v>4.9000000000000004</v>
      </c>
      <c r="N5" s="10">
        <f>5.1*0.5</f>
        <v>2.5499999999999998</v>
      </c>
      <c r="O5" s="10">
        <v>3.4</v>
      </c>
      <c r="P5" s="10">
        <v>4.8</v>
      </c>
      <c r="Q5" s="10">
        <f>H5+J5+M5+N5+O5+P5+I5+K5</f>
        <v>56.55</v>
      </c>
      <c r="R5" s="10"/>
    </row>
    <row r="6" spans="1:18" ht="24" customHeight="1" x14ac:dyDescent="0.25">
      <c r="A6" s="217"/>
      <c r="B6" s="218"/>
      <c r="C6" s="274" t="s">
        <v>17</v>
      </c>
      <c r="D6" s="218"/>
      <c r="E6" s="273"/>
      <c r="F6" s="249">
        <f>Q6*0.6</f>
        <v>25.727999999999998</v>
      </c>
      <c r="G6" s="4" t="s">
        <v>22</v>
      </c>
      <c r="H6" s="10">
        <v>12.4</v>
      </c>
      <c r="I6" s="10"/>
      <c r="J6" s="10">
        <v>6</v>
      </c>
      <c r="K6" s="10">
        <f>45*0.2</f>
        <v>9</v>
      </c>
      <c r="L6" s="10">
        <v>14.5</v>
      </c>
      <c r="M6" s="10">
        <v>4.4000000000000004</v>
      </c>
      <c r="N6" s="10">
        <f>8.3*0.5</f>
        <v>4.1500000000000004</v>
      </c>
      <c r="O6" s="10">
        <v>4.2</v>
      </c>
      <c r="P6" s="10">
        <v>2.73</v>
      </c>
      <c r="Q6" s="10">
        <f>H6+J6+M6+N6+O6+P6+I6+K6</f>
        <v>42.879999999999995</v>
      </c>
      <c r="R6" s="10"/>
    </row>
    <row r="7" spans="1:18" ht="29.25" customHeight="1" x14ac:dyDescent="0.3">
      <c r="A7" s="5">
        <v>1</v>
      </c>
      <c r="B7" s="6" t="s">
        <v>13</v>
      </c>
      <c r="C7" s="7" t="s">
        <v>18</v>
      </c>
      <c r="D7" s="10" t="s">
        <v>276</v>
      </c>
      <c r="E7" s="220">
        <f>((614.01+0.101*(0.4*3200+0.6*3730))*5.32*0.36)</f>
        <v>1856.4569855999998</v>
      </c>
      <c r="F7" s="262">
        <f>F6+F5</f>
        <v>48.347999999999999</v>
      </c>
      <c r="G7" s="247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</row>
    <row r="8" spans="1:18" ht="38.25" customHeight="1" x14ac:dyDescent="0.3">
      <c r="A8" s="5"/>
      <c r="B8" s="6" t="s">
        <v>265</v>
      </c>
      <c r="C8" s="7" t="s">
        <v>42</v>
      </c>
      <c r="D8" s="6"/>
      <c r="E8" s="16"/>
      <c r="F8" s="249"/>
      <c r="G8" s="4"/>
      <c r="H8" s="250"/>
      <c r="I8" s="250"/>
      <c r="J8" s="250"/>
      <c r="K8" s="250"/>
      <c r="L8" s="250"/>
      <c r="M8" s="250"/>
      <c r="N8" s="250"/>
      <c r="O8" s="250"/>
      <c r="P8" s="250"/>
      <c r="Q8" s="10"/>
    </row>
    <row r="9" spans="1:18" ht="33.75" customHeight="1" x14ac:dyDescent="0.3">
      <c r="A9" s="5"/>
      <c r="B9" s="6"/>
      <c r="C9" s="7" t="s">
        <v>43</v>
      </c>
      <c r="D9" s="6"/>
      <c r="E9" s="16"/>
      <c r="F9" s="249"/>
      <c r="G9" s="4"/>
      <c r="H9" s="250"/>
      <c r="I9" s="250"/>
      <c r="J9" s="250"/>
      <c r="K9" s="250"/>
      <c r="L9" s="250"/>
      <c r="M9" s="250"/>
      <c r="N9" s="250"/>
      <c r="O9" s="250"/>
      <c r="P9" s="250"/>
      <c r="Q9" s="10"/>
    </row>
    <row r="10" spans="1:18" ht="19.5" customHeight="1" x14ac:dyDescent="0.3">
      <c r="A10" s="221"/>
      <c r="B10" s="222"/>
      <c r="C10" s="223" t="s">
        <v>269</v>
      </c>
      <c r="D10" s="222"/>
      <c r="E10" s="14"/>
      <c r="F10" s="249"/>
      <c r="G10" s="4"/>
      <c r="H10" s="245" t="s">
        <v>14</v>
      </c>
      <c r="I10" s="245" t="s">
        <v>30</v>
      </c>
      <c r="J10" s="245" t="s">
        <v>15</v>
      </c>
      <c r="K10" s="245" t="s">
        <v>16</v>
      </c>
      <c r="L10" s="245" t="s">
        <v>31</v>
      </c>
      <c r="M10" s="245" t="s">
        <v>25</v>
      </c>
      <c r="N10" s="245" t="s">
        <v>7</v>
      </c>
      <c r="O10" s="245" t="s">
        <v>8</v>
      </c>
      <c r="P10" s="245" t="s">
        <v>29</v>
      </c>
      <c r="Q10" s="10"/>
    </row>
    <row r="11" spans="1:18" ht="26.25" customHeight="1" x14ac:dyDescent="0.25">
      <c r="A11" s="217"/>
      <c r="B11" s="218"/>
      <c r="C11" s="274" t="s">
        <v>10</v>
      </c>
      <c r="D11" s="218"/>
      <c r="E11" s="273"/>
      <c r="F11" s="263">
        <f>Q11*0.4</f>
        <v>18.577586206896552</v>
      </c>
      <c r="G11" s="4" t="s">
        <v>9</v>
      </c>
      <c r="H11" s="10">
        <v>28</v>
      </c>
      <c r="I11" s="10">
        <v>2</v>
      </c>
      <c r="J11" s="10">
        <v>4.7</v>
      </c>
      <c r="K11" s="10">
        <f>31*0.2</f>
        <v>6.2</v>
      </c>
      <c r="L11" s="10">
        <v>13.7</v>
      </c>
      <c r="M11" s="10">
        <f>4.9*0.5</f>
        <v>2.4500000000000002</v>
      </c>
      <c r="N11" s="10">
        <f>5.1*0.5</f>
        <v>2.5499999999999998</v>
      </c>
      <c r="O11" s="10">
        <v>3.4</v>
      </c>
      <c r="P11" s="10">
        <f>43.1*7.2/92.8</f>
        <v>3.3439655172413794</v>
      </c>
      <c r="Q11" s="10">
        <f>H11+J11+M11+N11+O11+P11+I11</f>
        <v>46.443965517241381</v>
      </c>
    </row>
    <row r="12" spans="1:18" ht="37.5" customHeight="1" x14ac:dyDescent="0.3">
      <c r="A12" s="5">
        <v>2</v>
      </c>
      <c r="B12" s="6" t="s">
        <v>295</v>
      </c>
      <c r="C12" s="7" t="s">
        <v>12</v>
      </c>
      <c r="D12" s="10" t="s">
        <v>299</v>
      </c>
      <c r="E12" s="266">
        <f>(247.8+62.4*6.9)*5.32*0.9*0.24</f>
        <v>779.5170432000001</v>
      </c>
      <c r="F12" s="263">
        <f>Q12*0.6</f>
        <v>18.322784810126581</v>
      </c>
      <c r="G12" s="4" t="s">
        <v>22</v>
      </c>
      <c r="H12" s="10">
        <v>12.4</v>
      </c>
      <c r="I12" s="10"/>
      <c r="J12" s="10">
        <v>6</v>
      </c>
      <c r="K12" s="10">
        <f>45*0.2</f>
        <v>9</v>
      </c>
      <c r="L12" s="10">
        <v>14.5</v>
      </c>
      <c r="M12" s="10">
        <f>4.4*0.5</f>
        <v>2.2000000000000002</v>
      </c>
      <c r="N12" s="10">
        <f>8.3*0.5</f>
        <v>4.1500000000000004</v>
      </c>
      <c r="O12" s="10">
        <v>4.2</v>
      </c>
      <c r="P12" s="10">
        <f>5.2*28.95/94.8</f>
        <v>1.5879746835443038</v>
      </c>
      <c r="Q12" s="10">
        <f>H12+J12+M12+N12+O12+P12+I12</f>
        <v>30.537974683544302</v>
      </c>
    </row>
    <row r="13" spans="1:18" ht="37.5" customHeight="1" x14ac:dyDescent="0.3">
      <c r="A13" s="5"/>
      <c r="B13" s="6"/>
      <c r="C13" s="7" t="s">
        <v>44</v>
      </c>
      <c r="D13" s="10"/>
      <c r="E13" s="220"/>
      <c r="F13" s="263"/>
      <c r="G13" s="4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8" ht="36.75" customHeight="1" x14ac:dyDescent="0.3">
      <c r="A14" s="5"/>
      <c r="B14" s="6"/>
      <c r="C14" s="7" t="s">
        <v>277</v>
      </c>
      <c r="D14" s="10"/>
      <c r="E14" s="220"/>
      <c r="F14" s="263"/>
      <c r="G14" s="4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8" ht="29.25" customHeight="1" x14ac:dyDescent="0.3">
      <c r="A15" s="5"/>
      <c r="B15" s="6"/>
      <c r="C15" s="7" t="s">
        <v>298</v>
      </c>
      <c r="D15" s="10"/>
      <c r="E15" s="220"/>
      <c r="F15" s="263"/>
      <c r="G15" s="4"/>
      <c r="H15" s="245" t="s">
        <v>14</v>
      </c>
      <c r="I15" s="245" t="s">
        <v>30</v>
      </c>
      <c r="J15" s="245" t="s">
        <v>15</v>
      </c>
      <c r="K15" s="245" t="s">
        <v>16</v>
      </c>
      <c r="L15" s="245" t="s">
        <v>31</v>
      </c>
      <c r="M15" s="245" t="s">
        <v>25</v>
      </c>
      <c r="N15" s="245" t="s">
        <v>7</v>
      </c>
      <c r="O15" s="245" t="s">
        <v>8</v>
      </c>
      <c r="P15" s="245" t="s">
        <v>29</v>
      </c>
      <c r="Q15" s="10"/>
    </row>
    <row r="16" spans="1:18" ht="31.5" customHeight="1" x14ac:dyDescent="0.3">
      <c r="A16" s="5"/>
      <c r="B16" s="6"/>
      <c r="C16" s="7" t="s">
        <v>300</v>
      </c>
      <c r="D16" s="9"/>
      <c r="E16" s="16"/>
      <c r="F16" s="264">
        <f>F12+F11</f>
        <v>36.900371017023133</v>
      </c>
      <c r="G16" s="247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ht="20.25" customHeight="1" x14ac:dyDescent="0.3">
      <c r="A17" s="221"/>
      <c r="B17" s="222"/>
      <c r="C17" s="223" t="s">
        <v>238</v>
      </c>
      <c r="D17" s="222"/>
      <c r="E17" s="14"/>
      <c r="F17" s="263"/>
      <c r="G17" s="4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26.25" customHeight="1" x14ac:dyDescent="0.3">
      <c r="A18" s="217"/>
      <c r="B18" s="6" t="s">
        <v>11</v>
      </c>
      <c r="C18" s="274" t="s">
        <v>10</v>
      </c>
      <c r="D18" s="217"/>
      <c r="E18" s="273"/>
      <c r="F18" s="263">
        <f>Q18*0.4</f>
        <v>37.54</v>
      </c>
      <c r="G18" s="4" t="s">
        <v>9</v>
      </c>
      <c r="H18" s="10">
        <v>16</v>
      </c>
      <c r="I18" s="10">
        <v>2</v>
      </c>
      <c r="J18" s="10">
        <v>8</v>
      </c>
      <c r="K18" s="10">
        <f>41*0.85</f>
        <v>34.85</v>
      </c>
      <c r="L18" s="10">
        <v>8</v>
      </c>
      <c r="M18" s="10">
        <v>3</v>
      </c>
      <c r="N18" s="10">
        <v>11</v>
      </c>
      <c r="O18" s="10">
        <v>2</v>
      </c>
      <c r="P18" s="10">
        <v>9</v>
      </c>
      <c r="Q18" s="10">
        <f>H18+J18+M18+N18+O18+P18+I18+K18+L18</f>
        <v>93.85</v>
      </c>
    </row>
    <row r="19" spans="1:17" ht="29.25" customHeight="1" x14ac:dyDescent="0.3">
      <c r="A19" s="5">
        <v>3</v>
      </c>
      <c r="B19" s="6" t="s">
        <v>291</v>
      </c>
      <c r="C19" s="7" t="s">
        <v>12</v>
      </c>
      <c r="D19" s="281" t="s">
        <v>311</v>
      </c>
      <c r="E19" s="266">
        <f>(247.8+62.4*6.649)*5.32*0.9*0.93</f>
        <v>2950.8863811840001</v>
      </c>
      <c r="F19" s="263">
        <f>Q19*0.6</f>
        <v>55.5</v>
      </c>
      <c r="G19" s="4" t="s">
        <v>22</v>
      </c>
      <c r="H19" s="10">
        <v>17</v>
      </c>
      <c r="I19" s="10"/>
      <c r="J19" s="10">
        <v>8</v>
      </c>
      <c r="K19" s="10">
        <f>50*0.85</f>
        <v>42.5</v>
      </c>
      <c r="L19" s="10">
        <v>8</v>
      </c>
      <c r="M19" s="10">
        <v>3</v>
      </c>
      <c r="N19" s="10">
        <v>12</v>
      </c>
      <c r="O19" s="10">
        <v>2</v>
      </c>
      <c r="P19" s="10"/>
      <c r="Q19" s="10">
        <f>H19+J19+M19+N19+O19+P19+I19+K19+L19</f>
        <v>92.5</v>
      </c>
    </row>
    <row r="20" spans="1:17" ht="56.25" customHeight="1" x14ac:dyDescent="0.3">
      <c r="A20" s="5">
        <v>4</v>
      </c>
      <c r="B20" s="6" t="s">
        <v>11</v>
      </c>
      <c r="C20" s="7" t="s">
        <v>308</v>
      </c>
      <c r="D20" s="281" t="s">
        <v>312</v>
      </c>
      <c r="E20" s="266">
        <f>(247.8+62.4*7.805)*5.32*0.9*0.93</f>
        <v>3272.0893228800005</v>
      </c>
      <c r="F20" s="263"/>
      <c r="G20" s="4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30.75" customHeight="1" x14ac:dyDescent="0.3">
      <c r="A21" s="5"/>
      <c r="B21" s="6" t="s">
        <v>292</v>
      </c>
      <c r="C21" s="7" t="s">
        <v>309</v>
      </c>
      <c r="D21" s="281"/>
      <c r="E21" s="266"/>
      <c r="F21" s="263"/>
      <c r="G21" s="4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29.25" customHeight="1" x14ac:dyDescent="0.3">
      <c r="A22" s="5"/>
      <c r="B22" s="6"/>
      <c r="C22" s="7" t="s">
        <v>310</v>
      </c>
      <c r="D22" s="281"/>
      <c r="E22" s="267"/>
      <c r="F22" s="263"/>
      <c r="G22" s="4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29.25" customHeight="1" x14ac:dyDescent="0.3">
      <c r="A23" s="5"/>
      <c r="B23" s="6"/>
      <c r="C23" s="7" t="s">
        <v>321</v>
      </c>
      <c r="D23" s="281"/>
      <c r="E23" s="267"/>
      <c r="F23" s="263"/>
      <c r="G23" s="4"/>
      <c r="H23" s="245" t="s">
        <v>14</v>
      </c>
      <c r="I23" s="245" t="s">
        <v>30</v>
      </c>
      <c r="J23" s="245" t="s">
        <v>15</v>
      </c>
      <c r="K23" s="245" t="s">
        <v>16</v>
      </c>
      <c r="L23" s="245" t="s">
        <v>31</v>
      </c>
      <c r="M23" s="245" t="s">
        <v>25</v>
      </c>
      <c r="N23" s="245" t="s">
        <v>7</v>
      </c>
      <c r="O23" s="245" t="s">
        <v>8</v>
      </c>
      <c r="P23" s="245" t="s">
        <v>29</v>
      </c>
      <c r="Q23" s="10"/>
    </row>
    <row r="24" spans="1:17" ht="29.25" customHeight="1" x14ac:dyDescent="0.3">
      <c r="A24" s="221"/>
      <c r="B24" s="222"/>
      <c r="C24" s="223" t="s">
        <v>304</v>
      </c>
      <c r="D24" s="224"/>
      <c r="E24" s="275"/>
      <c r="F24" s="271">
        <f>F19+F18</f>
        <v>93.039999999999992</v>
      </c>
      <c r="G24" s="247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ht="26.25" customHeight="1" x14ac:dyDescent="0.25">
      <c r="A25" s="226"/>
      <c r="B25" s="227"/>
      <c r="C25" s="274" t="s">
        <v>10</v>
      </c>
      <c r="D25" s="226"/>
      <c r="E25" s="269"/>
      <c r="F25" s="263">
        <f>Q25*0.4</f>
        <v>38.360000000000007</v>
      </c>
      <c r="G25" s="4" t="s">
        <v>9</v>
      </c>
      <c r="H25" s="10">
        <v>16</v>
      </c>
      <c r="I25" s="10">
        <v>2</v>
      </c>
      <c r="J25" s="10">
        <v>8</v>
      </c>
      <c r="K25" s="10">
        <f>41*0.9</f>
        <v>36.9</v>
      </c>
      <c r="L25" s="10">
        <v>8</v>
      </c>
      <c r="M25" s="10">
        <v>3</v>
      </c>
      <c r="N25" s="10">
        <v>11</v>
      </c>
      <c r="O25" s="10">
        <v>2</v>
      </c>
      <c r="P25" s="10">
        <v>9</v>
      </c>
      <c r="Q25" s="10">
        <f>H25+J25+M25+N25+O25+P25+I25+K25+L25</f>
        <v>95.9</v>
      </c>
    </row>
    <row r="26" spans="1:17" ht="29.25" customHeight="1" x14ac:dyDescent="0.3">
      <c r="A26" s="5">
        <v>5</v>
      </c>
      <c r="B26" s="6" t="s">
        <v>11</v>
      </c>
      <c r="C26" s="7" t="s">
        <v>12</v>
      </c>
      <c r="D26" s="281" t="s">
        <v>313</v>
      </c>
      <c r="E26" s="266">
        <f>(247.8+62.4*10.508)*5.32*0.9*0.96</f>
        <v>4152.9160028159995</v>
      </c>
      <c r="F26" s="263">
        <f>Q26*0.6</f>
        <v>57</v>
      </c>
      <c r="G26" s="4" t="s">
        <v>22</v>
      </c>
      <c r="H26" s="10">
        <v>17</v>
      </c>
      <c r="I26" s="10"/>
      <c r="J26" s="10">
        <v>8</v>
      </c>
      <c r="K26" s="10">
        <f>50*0.9</f>
        <v>45</v>
      </c>
      <c r="L26" s="10">
        <v>8</v>
      </c>
      <c r="M26" s="10">
        <v>3</v>
      </c>
      <c r="N26" s="10">
        <v>12</v>
      </c>
      <c r="O26" s="10">
        <v>2</v>
      </c>
      <c r="P26" s="10"/>
      <c r="Q26" s="49">
        <f>H26+J26+M26+N26+O26+P26+I26+K26+L26</f>
        <v>95</v>
      </c>
    </row>
    <row r="27" spans="1:17" ht="29.25" customHeight="1" x14ac:dyDescent="0.3">
      <c r="A27" s="5"/>
      <c r="B27" s="6" t="s">
        <v>289</v>
      </c>
      <c r="C27" s="7" t="s">
        <v>278</v>
      </c>
      <c r="D27" s="281"/>
      <c r="E27" s="266"/>
      <c r="F27" s="263"/>
      <c r="G27" s="4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29.25" customHeight="1" x14ac:dyDescent="0.3">
      <c r="A28" s="5"/>
      <c r="B28" s="6"/>
      <c r="C28" s="7" t="s">
        <v>279</v>
      </c>
      <c r="D28" s="281"/>
      <c r="E28" s="266"/>
      <c r="F28" s="263"/>
      <c r="G28" s="4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29.25" customHeight="1" x14ac:dyDescent="0.3">
      <c r="A29" s="5"/>
      <c r="B29" s="6"/>
      <c r="C29" s="7" t="s">
        <v>315</v>
      </c>
      <c r="D29" s="281"/>
      <c r="E29" s="266"/>
      <c r="F29" s="263"/>
      <c r="G29" s="4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9.25" customHeight="1" x14ac:dyDescent="0.3">
      <c r="A30" s="5">
        <v>6</v>
      </c>
      <c r="B30" s="6" t="s">
        <v>11</v>
      </c>
      <c r="C30" s="223" t="s">
        <v>304</v>
      </c>
      <c r="D30" s="281" t="s">
        <v>314</v>
      </c>
      <c r="E30" s="266">
        <f>(247.8+62.4*10.963)*5.32*0.9*0.96</f>
        <v>4283.419262976</v>
      </c>
      <c r="F30" s="270">
        <f>F26+F25</f>
        <v>95.360000000000014</v>
      </c>
      <c r="G30" s="247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ht="29.25" customHeight="1" x14ac:dyDescent="0.3">
      <c r="A31" s="5"/>
      <c r="B31" s="6" t="s">
        <v>290</v>
      </c>
      <c r="C31" s="7" t="s">
        <v>316</v>
      </c>
      <c r="D31" s="8"/>
      <c r="E31" s="268"/>
      <c r="F31" s="263">
        <f>Q31*0.4</f>
        <v>18.577586206896552</v>
      </c>
      <c r="G31" s="4" t="s">
        <v>9</v>
      </c>
      <c r="H31" s="10">
        <v>28</v>
      </c>
      <c r="I31" s="10">
        <v>2</v>
      </c>
      <c r="J31" s="10">
        <v>4.7</v>
      </c>
      <c r="K31" s="10">
        <f>31*0.2</f>
        <v>6.2</v>
      </c>
      <c r="L31" s="10">
        <v>13.7</v>
      </c>
      <c r="M31" s="10">
        <f>4.9*0.5</f>
        <v>2.4500000000000002</v>
      </c>
      <c r="N31" s="10">
        <f>5.1*0.5</f>
        <v>2.5499999999999998</v>
      </c>
      <c r="O31" s="10">
        <v>3.4</v>
      </c>
      <c r="P31" s="10">
        <f>43.1*7.2/92.8</f>
        <v>3.3439655172413794</v>
      </c>
      <c r="Q31" s="10">
        <f>H31+J31+M31+N31+O31+P31+I31</f>
        <v>46.443965517241381</v>
      </c>
    </row>
    <row r="32" spans="1:17" ht="29.25" customHeight="1" x14ac:dyDescent="0.3">
      <c r="A32" s="276">
        <v>7</v>
      </c>
      <c r="B32" s="277" t="s">
        <v>11</v>
      </c>
      <c r="C32" s="219" t="s">
        <v>12</v>
      </c>
      <c r="D32" s="283" t="s">
        <v>301</v>
      </c>
      <c r="E32" s="283">
        <f>(247.8+62.4*4.32)*5.32*0.9</f>
        <v>2477.1579839999999</v>
      </c>
      <c r="F32" s="264" t="e">
        <f>#REF!+F31</f>
        <v>#REF!</v>
      </c>
      <c r="G32" s="247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8" ht="29.25" customHeight="1" x14ac:dyDescent="0.3">
      <c r="A33" s="221"/>
      <c r="B33" s="222" t="s">
        <v>41</v>
      </c>
      <c r="C33" s="223" t="s">
        <v>304</v>
      </c>
      <c r="D33" s="224"/>
      <c r="E33" s="14"/>
      <c r="F33" s="265"/>
      <c r="G33" s="244"/>
      <c r="H33" s="245" t="s">
        <v>14</v>
      </c>
      <c r="I33" s="245" t="s">
        <v>16</v>
      </c>
      <c r="J33" s="245" t="s">
        <v>24</v>
      </c>
      <c r="K33" s="245" t="s">
        <v>25</v>
      </c>
      <c r="L33" s="245" t="s">
        <v>7</v>
      </c>
      <c r="M33" s="245" t="s">
        <v>26</v>
      </c>
      <c r="N33" s="245" t="s">
        <v>27</v>
      </c>
      <c r="O33" s="245" t="s">
        <v>28</v>
      </c>
      <c r="P33" s="245" t="s">
        <v>29</v>
      </c>
      <c r="Q33" s="246"/>
      <c r="R33" s="246"/>
    </row>
    <row r="34" spans="1:18" ht="36.75" customHeight="1" x14ac:dyDescent="0.3">
      <c r="A34" s="5">
        <v>8</v>
      </c>
      <c r="B34" s="6" t="s">
        <v>19</v>
      </c>
      <c r="C34" s="284" t="s">
        <v>20</v>
      </c>
      <c r="D34" s="8" t="s">
        <v>271</v>
      </c>
      <c r="E34" s="16">
        <f>81.23*5.32*66%</f>
        <v>285.21477600000003</v>
      </c>
      <c r="F34" s="249">
        <f>Q34*0.4</f>
        <v>20</v>
      </c>
      <c r="G34" s="4" t="s">
        <v>9</v>
      </c>
      <c r="H34" s="10">
        <v>10</v>
      </c>
      <c r="I34" s="10">
        <v>46</v>
      </c>
      <c r="J34" s="10">
        <v>7</v>
      </c>
      <c r="K34" s="10">
        <v>12</v>
      </c>
      <c r="L34" s="10">
        <v>11</v>
      </c>
      <c r="M34" s="10">
        <v>2</v>
      </c>
      <c r="N34" s="10">
        <v>2</v>
      </c>
      <c r="O34" s="10">
        <v>2</v>
      </c>
      <c r="P34" s="10">
        <v>4</v>
      </c>
      <c r="Q34" s="10">
        <f>H34+J34+K34+L34+M34+N34+O34+P34</f>
        <v>50</v>
      </c>
      <c r="R34" s="10" t="s">
        <v>23</v>
      </c>
    </row>
    <row r="35" spans="1:18" ht="36.75" customHeight="1" x14ac:dyDescent="0.3">
      <c r="A35" s="5"/>
      <c r="B35" s="6"/>
      <c r="C35" s="7" t="s">
        <v>39</v>
      </c>
      <c r="D35" s="8"/>
      <c r="E35" s="16"/>
      <c r="F35" s="249"/>
      <c r="G35" s="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36.75" customHeight="1" x14ac:dyDescent="0.3">
      <c r="A36" s="5"/>
      <c r="B36" s="6"/>
      <c r="C36" s="7" t="s">
        <v>40</v>
      </c>
      <c r="D36" s="8"/>
      <c r="E36" s="16"/>
      <c r="F36" s="249"/>
      <c r="G36" s="4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 x14ac:dyDescent="0.3">
      <c r="A37" s="5"/>
      <c r="B37" s="7"/>
      <c r="C37" s="7" t="s">
        <v>270</v>
      </c>
      <c r="D37" s="8"/>
      <c r="E37" s="16"/>
      <c r="F37" s="249"/>
      <c r="G37" s="4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9.25" customHeight="1" x14ac:dyDescent="0.3">
      <c r="A38" s="5"/>
      <c r="B38" s="6"/>
      <c r="C38" s="7" t="s">
        <v>21</v>
      </c>
      <c r="D38" s="8"/>
      <c r="E38" s="16"/>
      <c r="F38" s="249">
        <f>Q38*0.6</f>
        <v>33.252000000000002</v>
      </c>
      <c r="G38" s="4" t="s">
        <v>22</v>
      </c>
      <c r="H38" s="10">
        <v>6.7</v>
      </c>
      <c r="I38" s="10">
        <v>41.1</v>
      </c>
      <c r="J38" s="10">
        <v>10.199999999999999</v>
      </c>
      <c r="K38" s="10">
        <v>12.7</v>
      </c>
      <c r="L38" s="10">
        <v>17.600000000000001</v>
      </c>
      <c r="M38" s="10">
        <v>1.9</v>
      </c>
      <c r="N38" s="10"/>
      <c r="O38" s="10">
        <v>2</v>
      </c>
      <c r="P38" s="10">
        <v>4.32</v>
      </c>
      <c r="Q38" s="10">
        <f>H38+J38+K38+L38+M38+N38+O38+P38</f>
        <v>55.42</v>
      </c>
      <c r="R38" s="10"/>
    </row>
    <row r="39" spans="1:18" ht="39.75" customHeight="1" x14ac:dyDescent="0.3">
      <c r="A39" s="276">
        <v>9</v>
      </c>
      <c r="B39" s="277" t="s">
        <v>32</v>
      </c>
      <c r="C39" s="274" t="s">
        <v>33</v>
      </c>
      <c r="D39" s="278"/>
      <c r="E39" s="15"/>
      <c r="F39" s="262">
        <f>F38+F34</f>
        <v>53.252000000000002</v>
      </c>
      <c r="G39" s="247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</row>
    <row r="40" spans="1:18" ht="29.25" customHeight="1" x14ac:dyDescent="0.3">
      <c r="A40" s="5"/>
      <c r="B40" s="6"/>
      <c r="C40" s="7" t="s">
        <v>34</v>
      </c>
      <c r="D40" s="8" t="s">
        <v>272</v>
      </c>
      <c r="E40" s="16">
        <f>(32.24+0.239*120)*5.32*8%</f>
        <v>25.927552000000002</v>
      </c>
      <c r="F40" s="249"/>
      <c r="G40" s="4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9.25" customHeight="1" x14ac:dyDescent="0.3">
      <c r="A41" s="5"/>
      <c r="B41" s="6"/>
      <c r="C41" s="7" t="s">
        <v>306</v>
      </c>
      <c r="D41" s="8"/>
      <c r="E41" s="16"/>
      <c r="F41" s="249"/>
      <c r="G41" s="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9.25" customHeight="1" x14ac:dyDescent="0.3">
      <c r="A42" s="5"/>
      <c r="B42" s="6"/>
      <c r="C42" s="7" t="s">
        <v>305</v>
      </c>
      <c r="D42" s="8"/>
      <c r="E42" s="16"/>
      <c r="F42" s="249"/>
      <c r="G42" s="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9.5" customHeight="1" x14ac:dyDescent="0.3">
      <c r="A43" s="221"/>
      <c r="B43" s="222"/>
      <c r="C43" s="223" t="s">
        <v>273</v>
      </c>
      <c r="D43" s="223"/>
      <c r="E43" s="14"/>
      <c r="F43" s="249"/>
      <c r="G43" s="4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9.25" customHeight="1" x14ac:dyDescent="0.3">
      <c r="A44" s="5">
        <v>10</v>
      </c>
      <c r="B44" s="6" t="s">
        <v>35</v>
      </c>
      <c r="C44" s="284" t="s">
        <v>36</v>
      </c>
      <c r="D44" s="8"/>
      <c r="E44" s="16"/>
      <c r="F44" s="249"/>
      <c r="G44" s="4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1.75" customHeight="1" x14ac:dyDescent="0.3">
      <c r="A45" s="5"/>
      <c r="B45" s="6"/>
      <c r="C45" s="7" t="s">
        <v>266</v>
      </c>
      <c r="D45" s="8" t="s">
        <v>264</v>
      </c>
      <c r="E45" s="16">
        <f>(10.41+0.53*12)*5.32*0.41</f>
        <v>36.578724000000001</v>
      </c>
      <c r="F45" s="249"/>
      <c r="G45" s="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39.75" customHeight="1" x14ac:dyDescent="0.3">
      <c r="A46" s="5"/>
      <c r="B46" s="6"/>
      <c r="C46" s="7" t="s">
        <v>37</v>
      </c>
      <c r="D46" s="8"/>
      <c r="E46" s="16"/>
      <c r="F46" s="249"/>
      <c r="G46" s="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 x14ac:dyDescent="0.3">
      <c r="A47" s="5"/>
      <c r="B47" s="6"/>
      <c r="C47" s="7" t="s">
        <v>293</v>
      </c>
      <c r="D47" s="8"/>
      <c r="E47" s="16"/>
      <c r="F47" s="249"/>
      <c r="G47" s="4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9.5" customHeight="1" x14ac:dyDescent="0.3">
      <c r="A48" s="5"/>
      <c r="B48" s="6"/>
      <c r="C48" s="8" t="s">
        <v>38</v>
      </c>
      <c r="D48" s="282"/>
      <c r="E48" s="220"/>
      <c r="F48" s="249"/>
      <c r="G48" s="4"/>
    </row>
    <row r="49" spans="1:15" ht="19.5" customHeight="1" x14ac:dyDescent="0.3">
      <c r="A49" s="276">
        <v>11</v>
      </c>
      <c r="B49" s="277" t="s">
        <v>260</v>
      </c>
      <c r="C49" s="274" t="s">
        <v>10</v>
      </c>
      <c r="D49" s="246" t="s">
        <v>307</v>
      </c>
      <c r="E49" s="279">
        <f>202.8*5.32*0.9*(0.8+0.5+0.5)</f>
        <v>1747.8115200000004</v>
      </c>
      <c r="F49" s="249"/>
      <c r="G49" s="4"/>
    </row>
    <row r="50" spans="1:15" ht="19.5" customHeight="1" x14ac:dyDescent="0.3">
      <c r="A50" s="5"/>
      <c r="B50" s="277"/>
      <c r="C50" s="8" t="s">
        <v>258</v>
      </c>
      <c r="D50" s="10"/>
      <c r="E50" s="267"/>
      <c r="F50" s="249"/>
      <c r="G50" s="4"/>
    </row>
    <row r="51" spans="1:15" ht="19.5" customHeight="1" x14ac:dyDescent="0.3">
      <c r="A51" s="5">
        <v>12</v>
      </c>
      <c r="B51" s="6" t="s">
        <v>261</v>
      </c>
      <c r="C51" s="8" t="s">
        <v>259</v>
      </c>
      <c r="D51" s="10" t="s">
        <v>302</v>
      </c>
      <c r="E51" s="266">
        <f>142.95*5.32*0.8*0.9</f>
        <v>547.55568000000005</v>
      </c>
      <c r="F51" s="249"/>
      <c r="G51" s="4"/>
    </row>
    <row r="52" spans="1:15" ht="19.5" customHeight="1" x14ac:dyDescent="0.3">
      <c r="A52" s="5"/>
      <c r="B52" s="6"/>
      <c r="C52" s="8" t="s">
        <v>274</v>
      </c>
      <c r="D52" s="10"/>
      <c r="E52" s="266"/>
      <c r="F52" s="249"/>
      <c r="G52" s="4"/>
    </row>
    <row r="53" spans="1:15" ht="19.5" customHeight="1" x14ac:dyDescent="0.3">
      <c r="A53" s="221">
        <v>13</v>
      </c>
      <c r="B53" s="222" t="s">
        <v>267</v>
      </c>
      <c r="C53" s="224" t="s">
        <v>268</v>
      </c>
      <c r="D53" s="248" t="s">
        <v>303</v>
      </c>
      <c r="E53" s="280">
        <f>4.8*5.32*0.9</f>
        <v>22.982400000000002</v>
      </c>
      <c r="F53" s="249"/>
      <c r="G53" s="4"/>
    </row>
    <row r="54" spans="1:15" ht="39" customHeight="1" x14ac:dyDescent="0.3">
      <c r="A54" s="5">
        <v>14</v>
      </c>
      <c r="B54" s="6" t="s">
        <v>46</v>
      </c>
      <c r="C54" s="286" t="s">
        <v>47</v>
      </c>
      <c r="E54" s="220"/>
      <c r="F54" s="249"/>
      <c r="G54" s="4"/>
    </row>
    <row r="55" spans="1:15" ht="22.5" customHeight="1" x14ac:dyDescent="0.3">
      <c r="A55" s="5"/>
      <c r="B55" s="6"/>
      <c r="C55" s="8" t="s">
        <v>48</v>
      </c>
      <c r="D55" s="11" t="s">
        <v>262</v>
      </c>
      <c r="E55" s="220">
        <f>(500+500*2)*40.71/1000</f>
        <v>61.064999999999998</v>
      </c>
      <c r="F55" s="249"/>
      <c r="G55" s="4"/>
    </row>
    <row r="56" spans="1:15" ht="19.5" customHeight="1" x14ac:dyDescent="0.3">
      <c r="A56" s="276"/>
      <c r="B56" s="246"/>
      <c r="C56" s="285" t="s">
        <v>49</v>
      </c>
      <c r="D56" s="246"/>
      <c r="E56" s="283"/>
      <c r="F56" s="249"/>
      <c r="G56" s="251" t="s">
        <v>234</v>
      </c>
      <c r="H56" s="42" t="s">
        <v>235</v>
      </c>
      <c r="I56" s="252" t="s">
        <v>132</v>
      </c>
      <c r="L56" s="249"/>
      <c r="M56" s="251" t="s">
        <v>234</v>
      </c>
      <c r="N56" s="42" t="s">
        <v>235</v>
      </c>
      <c r="O56" s="252" t="s">
        <v>132</v>
      </c>
    </row>
    <row r="57" spans="1:15" ht="30" customHeight="1" x14ac:dyDescent="0.3">
      <c r="A57" s="221">
        <v>15</v>
      </c>
      <c r="B57" s="222" t="s">
        <v>45</v>
      </c>
      <c r="C57" s="224" t="s">
        <v>50</v>
      </c>
      <c r="D57" s="225" t="s">
        <v>263</v>
      </c>
      <c r="E57" s="14">
        <f>(8+0.062*0.95)*5.32</f>
        <v>42.873348</v>
      </c>
      <c r="F57" s="253" t="e">
        <f>SUM(#REF!)</f>
        <v>#REF!</v>
      </c>
      <c r="G57" s="254" t="e">
        <f>F57*0.4</f>
        <v>#REF!</v>
      </c>
      <c r="H57" s="42" t="e">
        <f>G57/5.22</f>
        <v>#REF!</v>
      </c>
      <c r="I57" s="297">
        <v>11.88</v>
      </c>
      <c r="L57" s="253">
        <f>SUM(E6:E58)</f>
        <v>22601.969482656004</v>
      </c>
      <c r="M57" s="254">
        <f>L57*0.4</f>
        <v>9040.7877930624018</v>
      </c>
      <c r="N57" s="42">
        <f>M57/5.32</f>
        <v>1699.3962017034589</v>
      </c>
      <c r="O57" s="297">
        <v>11.88</v>
      </c>
    </row>
    <row r="58" spans="1:15" ht="30" customHeight="1" x14ac:dyDescent="0.3">
      <c r="A58" s="296">
        <v>16</v>
      </c>
      <c r="B58" s="278" t="s">
        <v>317</v>
      </c>
      <c r="C58" s="277" t="s">
        <v>318</v>
      </c>
      <c r="D58" s="278" t="s">
        <v>319</v>
      </c>
      <c r="E58" s="294">
        <f>(35.61+4.57*2)*5.32*0.25</f>
        <v>59.517500000000005</v>
      </c>
      <c r="F58" s="253"/>
      <c r="G58" s="254"/>
      <c r="H58" s="42"/>
      <c r="I58" s="297"/>
      <c r="L58" s="253"/>
      <c r="M58" s="254"/>
      <c r="N58" s="42"/>
      <c r="O58" s="297"/>
    </row>
    <row r="59" spans="1:15" ht="30" customHeight="1" x14ac:dyDescent="0.3">
      <c r="A59" s="295"/>
      <c r="B59" s="224"/>
      <c r="C59" s="222" t="s">
        <v>320</v>
      </c>
      <c r="D59" s="224"/>
      <c r="E59" s="275"/>
      <c r="F59" s="253"/>
      <c r="G59" s="254"/>
      <c r="H59" s="42"/>
      <c r="I59" s="297"/>
      <c r="L59" s="253"/>
      <c r="M59" s="254"/>
      <c r="N59" s="42"/>
      <c r="O59" s="297"/>
    </row>
    <row r="60" spans="1:15" ht="30" customHeight="1" x14ac:dyDescent="0.3">
      <c r="A60" s="221">
        <v>17</v>
      </c>
      <c r="B60" s="224" t="s">
        <v>228</v>
      </c>
      <c r="C60" s="224" t="s">
        <v>281</v>
      </c>
      <c r="D60" s="225"/>
      <c r="E60" s="14">
        <f>гидрометео!E13/1000</f>
        <v>74.893285500000019</v>
      </c>
      <c r="F60" s="255" t="s">
        <v>236</v>
      </c>
      <c r="G60" s="256" t="e">
        <f>#REF!+#REF!+#REF!+#REF!</f>
        <v>#REF!</v>
      </c>
      <c r="H60" s="42" t="e">
        <f>G60/5.27</f>
        <v>#REF!</v>
      </c>
      <c r="I60" s="297"/>
      <c r="L60" s="255" t="s">
        <v>236</v>
      </c>
      <c r="M60" s="256">
        <f>E60+E61+E62+E63</f>
        <v>1588.8760189311126</v>
      </c>
      <c r="N60" s="42">
        <f>M60/5.36</f>
        <v>296.43209308416277</v>
      </c>
      <c r="O60" s="297"/>
    </row>
    <row r="61" spans="1:15" ht="30" customHeight="1" x14ac:dyDescent="0.3">
      <c r="A61" s="221">
        <v>18</v>
      </c>
      <c r="B61" s="2" t="s">
        <v>229</v>
      </c>
      <c r="C61" s="2" t="s">
        <v>283</v>
      </c>
      <c r="D61" s="13"/>
      <c r="E61" s="17">
        <f>экология!J55/1000</f>
        <v>297.74407000000002</v>
      </c>
      <c r="F61" s="255"/>
      <c r="G61" s="257"/>
    </row>
    <row r="62" spans="1:15" ht="30" customHeight="1" x14ac:dyDescent="0.3">
      <c r="A62" s="5">
        <v>19</v>
      </c>
      <c r="B62" s="2" t="s">
        <v>230</v>
      </c>
      <c r="C62" s="2" t="s">
        <v>284</v>
      </c>
      <c r="D62" s="13"/>
      <c r="E62" s="17">
        <f>геол!E23/1000</f>
        <v>962.50126254231259</v>
      </c>
      <c r="F62" s="255"/>
      <c r="G62" s="257"/>
    </row>
    <row r="63" spans="1:15" ht="30" customHeight="1" x14ac:dyDescent="0.3">
      <c r="A63" s="11">
        <v>20</v>
      </c>
      <c r="B63" s="2" t="s">
        <v>231</v>
      </c>
      <c r="C63" s="2" t="s">
        <v>285</v>
      </c>
      <c r="D63" s="13"/>
      <c r="E63" s="17">
        <f>геод!E17/1000</f>
        <v>253.73740088880001</v>
      </c>
      <c r="F63" s="255"/>
      <c r="G63" s="257"/>
    </row>
    <row r="64" spans="1:15" ht="32.25" hidden="1" customHeight="1" x14ac:dyDescent="0.3">
      <c r="A64" s="5">
        <v>20</v>
      </c>
      <c r="B64" s="229" t="s">
        <v>237</v>
      </c>
      <c r="C64" s="2" t="s">
        <v>294</v>
      </c>
      <c r="D64" s="13"/>
      <c r="E64" s="16"/>
      <c r="F64" s="255"/>
      <c r="G64" s="257"/>
    </row>
    <row r="65" spans="1:14" ht="35.25" customHeight="1" x14ac:dyDescent="0.3">
      <c r="A65" s="228"/>
      <c r="B65" s="229" t="s">
        <v>226</v>
      </c>
      <c r="C65" s="2"/>
      <c r="D65" s="13"/>
      <c r="E65" s="17">
        <f>SUM(E7:E64)</f>
        <v>24190.845501587115</v>
      </c>
      <c r="F65" s="255"/>
      <c r="G65" s="257"/>
      <c r="L65" s="240"/>
      <c r="N65" s="11">
        <f>(N57+N60)*11.88%*6.92*1.2</f>
        <v>1968.9149493980694</v>
      </c>
    </row>
    <row r="66" spans="1:14" ht="22.5" customHeight="1" x14ac:dyDescent="0.3">
      <c r="A66" s="228"/>
      <c r="B66" s="42"/>
      <c r="C66" s="2"/>
      <c r="D66" s="13" t="s">
        <v>5</v>
      </c>
      <c r="E66" s="17">
        <f>E65*20%</f>
        <v>4838.1691003174228</v>
      </c>
      <c r="F66" s="258"/>
      <c r="G66" s="259"/>
    </row>
    <row r="67" spans="1:14" ht="25.5" customHeight="1" x14ac:dyDescent="0.3">
      <c r="A67" s="230"/>
      <c r="B67" s="230"/>
      <c r="C67" s="230"/>
      <c r="D67" s="231" t="s">
        <v>4</v>
      </c>
      <c r="E67" s="18">
        <f>E66+E65</f>
        <v>29029.014601904539</v>
      </c>
      <c r="F67" s="260"/>
      <c r="G67" s="260"/>
    </row>
    <row r="68" spans="1:14" ht="31.5" customHeight="1" x14ac:dyDescent="0.3">
      <c r="A68" s="234"/>
      <c r="B68" s="234"/>
      <c r="C68" s="234"/>
      <c r="D68" s="235"/>
      <c r="E68" s="1"/>
      <c r="F68" s="261"/>
      <c r="G68" s="261"/>
    </row>
    <row r="69" spans="1:14" ht="18.75" x14ac:dyDescent="0.3">
      <c r="A69" s="234"/>
      <c r="B69" s="234"/>
      <c r="C69" s="234"/>
      <c r="D69" s="236"/>
      <c r="E69" s="1"/>
      <c r="F69" s="261"/>
      <c r="G69" s="261"/>
    </row>
    <row r="70" spans="1:14" ht="18.75" x14ac:dyDescent="0.3">
      <c r="A70" s="234"/>
      <c r="B70" s="234"/>
      <c r="C70" s="234"/>
      <c r="D70" s="234"/>
      <c r="E70" s="234"/>
    </row>
    <row r="71" spans="1:14" ht="18.75" x14ac:dyDescent="0.3">
      <c r="A71" s="234"/>
      <c r="B71" s="234"/>
      <c r="C71" s="234"/>
      <c r="D71" s="237"/>
      <c r="E71" s="237"/>
      <c r="F71" s="238"/>
      <c r="G71" s="238"/>
    </row>
    <row r="72" spans="1:14" x14ac:dyDescent="0.25">
      <c r="D72" s="238"/>
      <c r="E72" s="241"/>
      <c r="F72" s="238"/>
      <c r="G72" s="238"/>
    </row>
  </sheetData>
  <mergeCells count="3">
    <mergeCell ref="I57:I60"/>
    <mergeCell ref="O57:O60"/>
    <mergeCell ref="A3:E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60" zoomScaleNormal="100" workbookViewId="0">
      <selection activeCell="H16" sqref="H16"/>
    </sheetView>
  </sheetViews>
  <sheetFormatPr defaultColWidth="30.140625" defaultRowHeight="15" x14ac:dyDescent="0.25"/>
  <cols>
    <col min="1" max="1" width="4.140625" style="11" customWidth="1"/>
    <col min="2" max="2" width="53.140625" style="11" customWidth="1"/>
    <col min="3" max="3" width="29" style="11" customWidth="1"/>
    <col min="4" max="4" width="27" style="11" customWidth="1"/>
    <col min="5" max="5" width="12.28515625" style="11" customWidth="1"/>
    <col min="6" max="16384" width="30.140625" style="11"/>
  </cols>
  <sheetData>
    <row r="1" spans="1:10" x14ac:dyDescent="0.25">
      <c r="A1" s="299" t="s">
        <v>210</v>
      </c>
      <c r="B1" s="299"/>
      <c r="C1" s="299"/>
      <c r="D1" s="299"/>
      <c r="E1" s="299"/>
      <c r="F1" s="19"/>
    </row>
    <row r="2" spans="1:10" ht="72" customHeight="1" x14ac:dyDescent="0.25">
      <c r="A2" s="298" t="s">
        <v>329</v>
      </c>
      <c r="B2" s="298"/>
      <c r="C2" s="298"/>
      <c r="D2" s="298"/>
      <c r="E2" s="298"/>
      <c r="F2" s="272"/>
      <c r="G2" s="272"/>
      <c r="H2" s="20"/>
      <c r="I2" s="20"/>
      <c r="J2" s="20"/>
    </row>
    <row r="3" spans="1:10" ht="15.75" customHeight="1" x14ac:dyDescent="0.25">
      <c r="A3" s="300" t="s">
        <v>280</v>
      </c>
      <c r="B3" s="300"/>
      <c r="C3" s="300"/>
      <c r="D3" s="300"/>
      <c r="E3" s="300"/>
      <c r="F3" s="21"/>
      <c r="G3" s="21"/>
      <c r="H3" s="21"/>
      <c r="I3" s="21"/>
      <c r="J3" s="21"/>
    </row>
    <row r="4" spans="1:10" ht="90" customHeight="1" x14ac:dyDescent="0.25">
      <c r="A4" s="22" t="s">
        <v>51</v>
      </c>
      <c r="B4" s="23" t="s">
        <v>1</v>
      </c>
      <c r="C4" s="24" t="s">
        <v>2</v>
      </c>
      <c r="D4" s="25" t="s">
        <v>3</v>
      </c>
      <c r="E4" s="23" t="s">
        <v>52</v>
      </c>
    </row>
    <row r="5" spans="1:10" ht="54.75" customHeight="1" x14ac:dyDescent="0.25">
      <c r="A5" s="26">
        <v>1</v>
      </c>
      <c r="B5" s="27" t="s">
        <v>53</v>
      </c>
      <c r="C5" s="28" t="s">
        <v>54</v>
      </c>
      <c r="D5" s="29" t="s">
        <v>55</v>
      </c>
      <c r="E5" s="29">
        <v>34</v>
      </c>
    </row>
    <row r="6" spans="1:10" ht="47.25" x14ac:dyDescent="0.25">
      <c r="A6" s="30">
        <v>2</v>
      </c>
      <c r="B6" s="31" t="s">
        <v>56</v>
      </c>
      <c r="C6" s="32" t="s">
        <v>57</v>
      </c>
      <c r="D6" s="33" t="s">
        <v>58</v>
      </c>
      <c r="E6" s="33">
        <v>217</v>
      </c>
    </row>
    <row r="7" spans="1:10" ht="31.5" x14ac:dyDescent="0.25">
      <c r="A7" s="26">
        <v>3</v>
      </c>
      <c r="B7" s="27" t="s">
        <v>59</v>
      </c>
      <c r="C7" s="28" t="s">
        <v>60</v>
      </c>
      <c r="D7" s="29" t="s">
        <v>61</v>
      </c>
      <c r="E7" s="29">
        <v>206</v>
      </c>
    </row>
    <row r="8" spans="1:10" ht="31.5" x14ac:dyDescent="0.25">
      <c r="A8" s="34">
        <v>4</v>
      </c>
      <c r="B8" s="35" t="s">
        <v>62</v>
      </c>
      <c r="C8" s="28" t="s">
        <v>63</v>
      </c>
      <c r="D8" s="36" t="s">
        <v>64</v>
      </c>
      <c r="E8" s="36">
        <v>11</v>
      </c>
    </row>
    <row r="9" spans="1:10" ht="31.5" x14ac:dyDescent="0.25">
      <c r="A9" s="37">
        <v>5</v>
      </c>
      <c r="B9" s="38" t="s">
        <v>65</v>
      </c>
      <c r="C9" s="28" t="s">
        <v>66</v>
      </c>
      <c r="D9" s="29" t="s">
        <v>67</v>
      </c>
      <c r="E9" s="29">
        <v>18</v>
      </c>
    </row>
    <row r="10" spans="1:10" ht="47.25" x14ac:dyDescent="0.25">
      <c r="A10" s="37">
        <v>6</v>
      </c>
      <c r="B10" s="39" t="s">
        <v>68</v>
      </c>
      <c r="C10" s="28" t="s">
        <v>69</v>
      </c>
      <c r="D10" s="29" t="s">
        <v>70</v>
      </c>
      <c r="E10" s="29">
        <v>257</v>
      </c>
    </row>
    <row r="11" spans="1:10" ht="15.75" x14ac:dyDescent="0.25">
      <c r="A11" s="37">
        <v>7</v>
      </c>
      <c r="B11" s="31" t="s">
        <v>71</v>
      </c>
      <c r="C11" s="40" t="s">
        <v>72</v>
      </c>
      <c r="D11" s="41">
        <v>0.65</v>
      </c>
      <c r="E11" s="33">
        <f>(E10+E9+E8+E7+E6+E5)*65%</f>
        <v>482.95</v>
      </c>
    </row>
    <row r="12" spans="1:10" ht="15.75" x14ac:dyDescent="0.25">
      <c r="A12" s="42"/>
      <c r="B12" s="27" t="s">
        <v>73</v>
      </c>
      <c r="C12" s="43"/>
      <c r="D12" s="44"/>
      <c r="E12" s="44">
        <f>SUM(E5:E11)</f>
        <v>1225.95</v>
      </c>
    </row>
    <row r="13" spans="1:10" ht="25.5" x14ac:dyDescent="0.25">
      <c r="A13" s="42"/>
      <c r="B13" s="39" t="s">
        <v>74</v>
      </c>
      <c r="C13" s="45" t="s">
        <v>177</v>
      </c>
      <c r="D13" s="29" t="s">
        <v>254</v>
      </c>
      <c r="E13" s="29">
        <f>E12*61.09</f>
        <v>74893.285500000013</v>
      </c>
    </row>
    <row r="14" spans="1:10" x14ac:dyDescent="0.25">
      <c r="D14" s="11" t="s">
        <v>75</v>
      </c>
      <c r="E14" s="46">
        <f>E13*20%</f>
        <v>14978.657100000004</v>
      </c>
    </row>
    <row r="15" spans="1:10" x14ac:dyDescent="0.25">
      <c r="D15" s="11" t="s">
        <v>76</v>
      </c>
      <c r="E15" s="47">
        <f>E14+E13</f>
        <v>89871.942600000009</v>
      </c>
    </row>
    <row r="17" spans="3:6" x14ac:dyDescent="0.25">
      <c r="C17" s="48"/>
      <c r="E17" s="49"/>
      <c r="F17" s="11" t="s">
        <v>77</v>
      </c>
    </row>
    <row r="18" spans="3:6" x14ac:dyDescent="0.25">
      <c r="C18" s="48"/>
    </row>
    <row r="19" spans="3:6" x14ac:dyDescent="0.25">
      <c r="C19" s="48"/>
    </row>
    <row r="20" spans="3:6" x14ac:dyDescent="0.25">
      <c r="C20" s="48"/>
    </row>
    <row r="21" spans="3:6" x14ac:dyDescent="0.25">
      <c r="C21" s="48"/>
      <c r="E21" s="11" t="s">
        <v>78</v>
      </c>
    </row>
    <row r="22" spans="3:6" x14ac:dyDescent="0.25">
      <c r="C22" s="48"/>
    </row>
    <row r="23" spans="3:6" x14ac:dyDescent="0.25">
      <c r="C23" s="48"/>
    </row>
    <row r="24" spans="3:6" x14ac:dyDescent="0.25">
      <c r="C24" s="48"/>
    </row>
    <row r="25" spans="3:6" x14ac:dyDescent="0.25">
      <c r="C25" s="48"/>
    </row>
    <row r="26" spans="3:6" x14ac:dyDescent="0.25">
      <c r="C26" s="48"/>
    </row>
    <row r="27" spans="3:6" x14ac:dyDescent="0.25">
      <c r="C27" s="48"/>
    </row>
  </sheetData>
  <mergeCells count="3">
    <mergeCell ref="A1:E1"/>
    <mergeCell ref="A2:E2"/>
    <mergeCell ref="A3:E3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6.140625" style="130" customWidth="1"/>
    <col min="2" max="2" width="61.42578125" customWidth="1"/>
    <col min="3" max="3" width="40.140625" style="135" customWidth="1"/>
    <col min="4" max="4" width="11.28515625" customWidth="1"/>
    <col min="5" max="5" width="7" hidden="1" customWidth="1"/>
    <col min="6" max="6" width="6" hidden="1" customWidth="1"/>
    <col min="7" max="7" width="12.85546875" customWidth="1"/>
    <col min="8" max="8" width="11.7109375" customWidth="1"/>
    <col min="9" max="9" width="12.140625" customWidth="1"/>
    <col min="10" max="10" width="21.28515625" style="136" customWidth="1"/>
    <col min="11" max="11" width="0.140625" hidden="1" customWidth="1"/>
    <col min="12" max="12" width="43.5703125" customWidth="1"/>
    <col min="257" max="257" width="4.28515625" customWidth="1"/>
    <col min="258" max="258" width="53.28515625" customWidth="1"/>
    <col min="259" max="259" width="25.5703125" customWidth="1"/>
    <col min="260" max="260" width="11.28515625" customWidth="1"/>
    <col min="261" max="262" width="0" hidden="1" customWidth="1"/>
    <col min="263" max="263" width="12.85546875" customWidth="1"/>
    <col min="264" max="264" width="11.7109375" customWidth="1"/>
    <col min="265" max="265" width="12.140625" customWidth="1"/>
    <col min="266" max="266" width="21.5703125" customWidth="1"/>
    <col min="267" max="267" width="0" hidden="1" customWidth="1"/>
    <col min="268" max="268" width="43.5703125" customWidth="1"/>
    <col min="513" max="513" width="4.28515625" customWidth="1"/>
    <col min="514" max="514" width="53.28515625" customWidth="1"/>
    <col min="515" max="515" width="25.5703125" customWidth="1"/>
    <col min="516" max="516" width="11.28515625" customWidth="1"/>
    <col min="517" max="518" width="0" hidden="1" customWidth="1"/>
    <col min="519" max="519" width="12.85546875" customWidth="1"/>
    <col min="520" max="520" width="11.7109375" customWidth="1"/>
    <col min="521" max="521" width="12.140625" customWidth="1"/>
    <col min="522" max="522" width="21.5703125" customWidth="1"/>
    <col min="523" max="523" width="0" hidden="1" customWidth="1"/>
    <col min="524" max="524" width="43.5703125" customWidth="1"/>
    <col min="769" max="769" width="4.28515625" customWidth="1"/>
    <col min="770" max="770" width="53.28515625" customWidth="1"/>
    <col min="771" max="771" width="25.5703125" customWidth="1"/>
    <col min="772" max="772" width="11.28515625" customWidth="1"/>
    <col min="773" max="774" width="0" hidden="1" customWidth="1"/>
    <col min="775" max="775" width="12.85546875" customWidth="1"/>
    <col min="776" max="776" width="11.7109375" customWidth="1"/>
    <col min="777" max="777" width="12.140625" customWidth="1"/>
    <col min="778" max="778" width="21.5703125" customWidth="1"/>
    <col min="779" max="779" width="0" hidden="1" customWidth="1"/>
    <col min="780" max="780" width="43.5703125" customWidth="1"/>
    <col min="1025" max="1025" width="4.28515625" customWidth="1"/>
    <col min="1026" max="1026" width="53.28515625" customWidth="1"/>
    <col min="1027" max="1027" width="25.5703125" customWidth="1"/>
    <col min="1028" max="1028" width="11.28515625" customWidth="1"/>
    <col min="1029" max="1030" width="0" hidden="1" customWidth="1"/>
    <col min="1031" max="1031" width="12.85546875" customWidth="1"/>
    <col min="1032" max="1032" width="11.7109375" customWidth="1"/>
    <col min="1033" max="1033" width="12.140625" customWidth="1"/>
    <col min="1034" max="1034" width="21.5703125" customWidth="1"/>
    <col min="1035" max="1035" width="0" hidden="1" customWidth="1"/>
    <col min="1036" max="1036" width="43.5703125" customWidth="1"/>
    <col min="1281" max="1281" width="4.28515625" customWidth="1"/>
    <col min="1282" max="1282" width="53.28515625" customWidth="1"/>
    <col min="1283" max="1283" width="25.5703125" customWidth="1"/>
    <col min="1284" max="1284" width="11.28515625" customWidth="1"/>
    <col min="1285" max="1286" width="0" hidden="1" customWidth="1"/>
    <col min="1287" max="1287" width="12.85546875" customWidth="1"/>
    <col min="1288" max="1288" width="11.7109375" customWidth="1"/>
    <col min="1289" max="1289" width="12.140625" customWidth="1"/>
    <col min="1290" max="1290" width="21.5703125" customWidth="1"/>
    <col min="1291" max="1291" width="0" hidden="1" customWidth="1"/>
    <col min="1292" max="1292" width="43.5703125" customWidth="1"/>
    <col min="1537" max="1537" width="4.28515625" customWidth="1"/>
    <col min="1538" max="1538" width="53.28515625" customWidth="1"/>
    <col min="1539" max="1539" width="25.5703125" customWidth="1"/>
    <col min="1540" max="1540" width="11.28515625" customWidth="1"/>
    <col min="1541" max="1542" width="0" hidden="1" customWidth="1"/>
    <col min="1543" max="1543" width="12.85546875" customWidth="1"/>
    <col min="1544" max="1544" width="11.7109375" customWidth="1"/>
    <col min="1545" max="1545" width="12.140625" customWidth="1"/>
    <col min="1546" max="1546" width="21.5703125" customWidth="1"/>
    <col min="1547" max="1547" width="0" hidden="1" customWidth="1"/>
    <col min="1548" max="1548" width="43.5703125" customWidth="1"/>
    <col min="1793" max="1793" width="4.28515625" customWidth="1"/>
    <col min="1794" max="1794" width="53.28515625" customWidth="1"/>
    <col min="1795" max="1795" width="25.5703125" customWidth="1"/>
    <col min="1796" max="1796" width="11.28515625" customWidth="1"/>
    <col min="1797" max="1798" width="0" hidden="1" customWidth="1"/>
    <col min="1799" max="1799" width="12.85546875" customWidth="1"/>
    <col min="1800" max="1800" width="11.7109375" customWidth="1"/>
    <col min="1801" max="1801" width="12.140625" customWidth="1"/>
    <col min="1802" max="1802" width="21.5703125" customWidth="1"/>
    <col min="1803" max="1803" width="0" hidden="1" customWidth="1"/>
    <col min="1804" max="1804" width="43.5703125" customWidth="1"/>
    <col min="2049" max="2049" width="4.28515625" customWidth="1"/>
    <col min="2050" max="2050" width="53.28515625" customWidth="1"/>
    <col min="2051" max="2051" width="25.5703125" customWidth="1"/>
    <col min="2052" max="2052" width="11.28515625" customWidth="1"/>
    <col min="2053" max="2054" width="0" hidden="1" customWidth="1"/>
    <col min="2055" max="2055" width="12.85546875" customWidth="1"/>
    <col min="2056" max="2056" width="11.7109375" customWidth="1"/>
    <col min="2057" max="2057" width="12.140625" customWidth="1"/>
    <col min="2058" max="2058" width="21.5703125" customWidth="1"/>
    <col min="2059" max="2059" width="0" hidden="1" customWidth="1"/>
    <col min="2060" max="2060" width="43.5703125" customWidth="1"/>
    <col min="2305" max="2305" width="4.28515625" customWidth="1"/>
    <col min="2306" max="2306" width="53.28515625" customWidth="1"/>
    <col min="2307" max="2307" width="25.5703125" customWidth="1"/>
    <col min="2308" max="2308" width="11.28515625" customWidth="1"/>
    <col min="2309" max="2310" width="0" hidden="1" customWidth="1"/>
    <col min="2311" max="2311" width="12.85546875" customWidth="1"/>
    <col min="2312" max="2312" width="11.7109375" customWidth="1"/>
    <col min="2313" max="2313" width="12.140625" customWidth="1"/>
    <col min="2314" max="2314" width="21.5703125" customWidth="1"/>
    <col min="2315" max="2315" width="0" hidden="1" customWidth="1"/>
    <col min="2316" max="2316" width="43.5703125" customWidth="1"/>
    <col min="2561" max="2561" width="4.28515625" customWidth="1"/>
    <col min="2562" max="2562" width="53.28515625" customWidth="1"/>
    <col min="2563" max="2563" width="25.5703125" customWidth="1"/>
    <col min="2564" max="2564" width="11.28515625" customWidth="1"/>
    <col min="2565" max="2566" width="0" hidden="1" customWidth="1"/>
    <col min="2567" max="2567" width="12.85546875" customWidth="1"/>
    <col min="2568" max="2568" width="11.7109375" customWidth="1"/>
    <col min="2569" max="2569" width="12.140625" customWidth="1"/>
    <col min="2570" max="2570" width="21.5703125" customWidth="1"/>
    <col min="2571" max="2571" width="0" hidden="1" customWidth="1"/>
    <col min="2572" max="2572" width="43.5703125" customWidth="1"/>
    <col min="2817" max="2817" width="4.28515625" customWidth="1"/>
    <col min="2818" max="2818" width="53.28515625" customWidth="1"/>
    <col min="2819" max="2819" width="25.5703125" customWidth="1"/>
    <col min="2820" max="2820" width="11.28515625" customWidth="1"/>
    <col min="2821" max="2822" width="0" hidden="1" customWidth="1"/>
    <col min="2823" max="2823" width="12.85546875" customWidth="1"/>
    <col min="2824" max="2824" width="11.7109375" customWidth="1"/>
    <col min="2825" max="2825" width="12.140625" customWidth="1"/>
    <col min="2826" max="2826" width="21.5703125" customWidth="1"/>
    <col min="2827" max="2827" width="0" hidden="1" customWidth="1"/>
    <col min="2828" max="2828" width="43.5703125" customWidth="1"/>
    <col min="3073" max="3073" width="4.28515625" customWidth="1"/>
    <col min="3074" max="3074" width="53.28515625" customWidth="1"/>
    <col min="3075" max="3075" width="25.5703125" customWidth="1"/>
    <col min="3076" max="3076" width="11.28515625" customWidth="1"/>
    <col min="3077" max="3078" width="0" hidden="1" customWidth="1"/>
    <col min="3079" max="3079" width="12.85546875" customWidth="1"/>
    <col min="3080" max="3080" width="11.7109375" customWidth="1"/>
    <col min="3081" max="3081" width="12.140625" customWidth="1"/>
    <col min="3082" max="3082" width="21.5703125" customWidth="1"/>
    <col min="3083" max="3083" width="0" hidden="1" customWidth="1"/>
    <col min="3084" max="3084" width="43.5703125" customWidth="1"/>
    <col min="3329" max="3329" width="4.28515625" customWidth="1"/>
    <col min="3330" max="3330" width="53.28515625" customWidth="1"/>
    <col min="3331" max="3331" width="25.5703125" customWidth="1"/>
    <col min="3332" max="3332" width="11.28515625" customWidth="1"/>
    <col min="3333" max="3334" width="0" hidden="1" customWidth="1"/>
    <col min="3335" max="3335" width="12.85546875" customWidth="1"/>
    <col min="3336" max="3336" width="11.7109375" customWidth="1"/>
    <col min="3337" max="3337" width="12.140625" customWidth="1"/>
    <col min="3338" max="3338" width="21.5703125" customWidth="1"/>
    <col min="3339" max="3339" width="0" hidden="1" customWidth="1"/>
    <col min="3340" max="3340" width="43.5703125" customWidth="1"/>
    <col min="3585" max="3585" width="4.28515625" customWidth="1"/>
    <col min="3586" max="3586" width="53.28515625" customWidth="1"/>
    <col min="3587" max="3587" width="25.5703125" customWidth="1"/>
    <col min="3588" max="3588" width="11.28515625" customWidth="1"/>
    <col min="3589" max="3590" width="0" hidden="1" customWidth="1"/>
    <col min="3591" max="3591" width="12.85546875" customWidth="1"/>
    <col min="3592" max="3592" width="11.7109375" customWidth="1"/>
    <col min="3593" max="3593" width="12.140625" customWidth="1"/>
    <col min="3594" max="3594" width="21.5703125" customWidth="1"/>
    <col min="3595" max="3595" width="0" hidden="1" customWidth="1"/>
    <col min="3596" max="3596" width="43.5703125" customWidth="1"/>
    <col min="3841" max="3841" width="4.28515625" customWidth="1"/>
    <col min="3842" max="3842" width="53.28515625" customWidth="1"/>
    <col min="3843" max="3843" width="25.5703125" customWidth="1"/>
    <col min="3844" max="3844" width="11.28515625" customWidth="1"/>
    <col min="3845" max="3846" width="0" hidden="1" customWidth="1"/>
    <col min="3847" max="3847" width="12.85546875" customWidth="1"/>
    <col min="3848" max="3848" width="11.7109375" customWidth="1"/>
    <col min="3849" max="3849" width="12.140625" customWidth="1"/>
    <col min="3850" max="3850" width="21.5703125" customWidth="1"/>
    <col min="3851" max="3851" width="0" hidden="1" customWidth="1"/>
    <col min="3852" max="3852" width="43.5703125" customWidth="1"/>
    <col min="4097" max="4097" width="4.28515625" customWidth="1"/>
    <col min="4098" max="4098" width="53.28515625" customWidth="1"/>
    <col min="4099" max="4099" width="25.5703125" customWidth="1"/>
    <col min="4100" max="4100" width="11.28515625" customWidth="1"/>
    <col min="4101" max="4102" width="0" hidden="1" customWidth="1"/>
    <col min="4103" max="4103" width="12.85546875" customWidth="1"/>
    <col min="4104" max="4104" width="11.7109375" customWidth="1"/>
    <col min="4105" max="4105" width="12.140625" customWidth="1"/>
    <col min="4106" max="4106" width="21.5703125" customWidth="1"/>
    <col min="4107" max="4107" width="0" hidden="1" customWidth="1"/>
    <col min="4108" max="4108" width="43.5703125" customWidth="1"/>
    <col min="4353" max="4353" width="4.28515625" customWidth="1"/>
    <col min="4354" max="4354" width="53.28515625" customWidth="1"/>
    <col min="4355" max="4355" width="25.5703125" customWidth="1"/>
    <col min="4356" max="4356" width="11.28515625" customWidth="1"/>
    <col min="4357" max="4358" width="0" hidden="1" customWidth="1"/>
    <col min="4359" max="4359" width="12.85546875" customWidth="1"/>
    <col min="4360" max="4360" width="11.7109375" customWidth="1"/>
    <col min="4361" max="4361" width="12.140625" customWidth="1"/>
    <col min="4362" max="4362" width="21.5703125" customWidth="1"/>
    <col min="4363" max="4363" width="0" hidden="1" customWidth="1"/>
    <col min="4364" max="4364" width="43.5703125" customWidth="1"/>
    <col min="4609" max="4609" width="4.28515625" customWidth="1"/>
    <col min="4610" max="4610" width="53.28515625" customWidth="1"/>
    <col min="4611" max="4611" width="25.5703125" customWidth="1"/>
    <col min="4612" max="4612" width="11.28515625" customWidth="1"/>
    <col min="4613" max="4614" width="0" hidden="1" customWidth="1"/>
    <col min="4615" max="4615" width="12.85546875" customWidth="1"/>
    <col min="4616" max="4616" width="11.7109375" customWidth="1"/>
    <col min="4617" max="4617" width="12.140625" customWidth="1"/>
    <col min="4618" max="4618" width="21.5703125" customWidth="1"/>
    <col min="4619" max="4619" width="0" hidden="1" customWidth="1"/>
    <col min="4620" max="4620" width="43.5703125" customWidth="1"/>
    <col min="4865" max="4865" width="4.28515625" customWidth="1"/>
    <col min="4866" max="4866" width="53.28515625" customWidth="1"/>
    <col min="4867" max="4867" width="25.5703125" customWidth="1"/>
    <col min="4868" max="4868" width="11.28515625" customWidth="1"/>
    <col min="4869" max="4870" width="0" hidden="1" customWidth="1"/>
    <col min="4871" max="4871" width="12.85546875" customWidth="1"/>
    <col min="4872" max="4872" width="11.7109375" customWidth="1"/>
    <col min="4873" max="4873" width="12.140625" customWidth="1"/>
    <col min="4874" max="4874" width="21.5703125" customWidth="1"/>
    <col min="4875" max="4875" width="0" hidden="1" customWidth="1"/>
    <col min="4876" max="4876" width="43.5703125" customWidth="1"/>
    <col min="5121" max="5121" width="4.28515625" customWidth="1"/>
    <col min="5122" max="5122" width="53.28515625" customWidth="1"/>
    <col min="5123" max="5123" width="25.5703125" customWidth="1"/>
    <col min="5124" max="5124" width="11.28515625" customWidth="1"/>
    <col min="5125" max="5126" width="0" hidden="1" customWidth="1"/>
    <col min="5127" max="5127" width="12.85546875" customWidth="1"/>
    <col min="5128" max="5128" width="11.7109375" customWidth="1"/>
    <col min="5129" max="5129" width="12.140625" customWidth="1"/>
    <col min="5130" max="5130" width="21.5703125" customWidth="1"/>
    <col min="5131" max="5131" width="0" hidden="1" customWidth="1"/>
    <col min="5132" max="5132" width="43.5703125" customWidth="1"/>
    <col min="5377" max="5377" width="4.28515625" customWidth="1"/>
    <col min="5378" max="5378" width="53.28515625" customWidth="1"/>
    <col min="5379" max="5379" width="25.5703125" customWidth="1"/>
    <col min="5380" max="5380" width="11.28515625" customWidth="1"/>
    <col min="5381" max="5382" width="0" hidden="1" customWidth="1"/>
    <col min="5383" max="5383" width="12.85546875" customWidth="1"/>
    <col min="5384" max="5384" width="11.7109375" customWidth="1"/>
    <col min="5385" max="5385" width="12.140625" customWidth="1"/>
    <col min="5386" max="5386" width="21.5703125" customWidth="1"/>
    <col min="5387" max="5387" width="0" hidden="1" customWidth="1"/>
    <col min="5388" max="5388" width="43.5703125" customWidth="1"/>
    <col min="5633" max="5633" width="4.28515625" customWidth="1"/>
    <col min="5634" max="5634" width="53.28515625" customWidth="1"/>
    <col min="5635" max="5635" width="25.5703125" customWidth="1"/>
    <col min="5636" max="5636" width="11.28515625" customWidth="1"/>
    <col min="5637" max="5638" width="0" hidden="1" customWidth="1"/>
    <col min="5639" max="5639" width="12.85546875" customWidth="1"/>
    <col min="5640" max="5640" width="11.7109375" customWidth="1"/>
    <col min="5641" max="5641" width="12.140625" customWidth="1"/>
    <col min="5642" max="5642" width="21.5703125" customWidth="1"/>
    <col min="5643" max="5643" width="0" hidden="1" customWidth="1"/>
    <col min="5644" max="5644" width="43.5703125" customWidth="1"/>
    <col min="5889" max="5889" width="4.28515625" customWidth="1"/>
    <col min="5890" max="5890" width="53.28515625" customWidth="1"/>
    <col min="5891" max="5891" width="25.5703125" customWidth="1"/>
    <col min="5892" max="5892" width="11.28515625" customWidth="1"/>
    <col min="5893" max="5894" width="0" hidden="1" customWidth="1"/>
    <col min="5895" max="5895" width="12.85546875" customWidth="1"/>
    <col min="5896" max="5896" width="11.7109375" customWidth="1"/>
    <col min="5897" max="5897" width="12.140625" customWidth="1"/>
    <col min="5898" max="5898" width="21.5703125" customWidth="1"/>
    <col min="5899" max="5899" width="0" hidden="1" customWidth="1"/>
    <col min="5900" max="5900" width="43.5703125" customWidth="1"/>
    <col min="6145" max="6145" width="4.28515625" customWidth="1"/>
    <col min="6146" max="6146" width="53.28515625" customWidth="1"/>
    <col min="6147" max="6147" width="25.5703125" customWidth="1"/>
    <col min="6148" max="6148" width="11.28515625" customWidth="1"/>
    <col min="6149" max="6150" width="0" hidden="1" customWidth="1"/>
    <col min="6151" max="6151" width="12.85546875" customWidth="1"/>
    <col min="6152" max="6152" width="11.7109375" customWidth="1"/>
    <col min="6153" max="6153" width="12.140625" customWidth="1"/>
    <col min="6154" max="6154" width="21.5703125" customWidth="1"/>
    <col min="6155" max="6155" width="0" hidden="1" customWidth="1"/>
    <col min="6156" max="6156" width="43.5703125" customWidth="1"/>
    <col min="6401" max="6401" width="4.28515625" customWidth="1"/>
    <col min="6402" max="6402" width="53.28515625" customWidth="1"/>
    <col min="6403" max="6403" width="25.5703125" customWidth="1"/>
    <col min="6404" max="6404" width="11.28515625" customWidth="1"/>
    <col min="6405" max="6406" width="0" hidden="1" customWidth="1"/>
    <col min="6407" max="6407" width="12.85546875" customWidth="1"/>
    <col min="6408" max="6408" width="11.7109375" customWidth="1"/>
    <col min="6409" max="6409" width="12.140625" customWidth="1"/>
    <col min="6410" max="6410" width="21.5703125" customWidth="1"/>
    <col min="6411" max="6411" width="0" hidden="1" customWidth="1"/>
    <col min="6412" max="6412" width="43.5703125" customWidth="1"/>
    <col min="6657" max="6657" width="4.28515625" customWidth="1"/>
    <col min="6658" max="6658" width="53.28515625" customWidth="1"/>
    <col min="6659" max="6659" width="25.5703125" customWidth="1"/>
    <col min="6660" max="6660" width="11.28515625" customWidth="1"/>
    <col min="6661" max="6662" width="0" hidden="1" customWidth="1"/>
    <col min="6663" max="6663" width="12.85546875" customWidth="1"/>
    <col min="6664" max="6664" width="11.7109375" customWidth="1"/>
    <col min="6665" max="6665" width="12.140625" customWidth="1"/>
    <col min="6666" max="6666" width="21.5703125" customWidth="1"/>
    <col min="6667" max="6667" width="0" hidden="1" customWidth="1"/>
    <col min="6668" max="6668" width="43.5703125" customWidth="1"/>
    <col min="6913" max="6913" width="4.28515625" customWidth="1"/>
    <col min="6914" max="6914" width="53.28515625" customWidth="1"/>
    <col min="6915" max="6915" width="25.5703125" customWidth="1"/>
    <col min="6916" max="6916" width="11.28515625" customWidth="1"/>
    <col min="6917" max="6918" width="0" hidden="1" customWidth="1"/>
    <col min="6919" max="6919" width="12.85546875" customWidth="1"/>
    <col min="6920" max="6920" width="11.7109375" customWidth="1"/>
    <col min="6921" max="6921" width="12.140625" customWidth="1"/>
    <col min="6922" max="6922" width="21.5703125" customWidth="1"/>
    <col min="6923" max="6923" width="0" hidden="1" customWidth="1"/>
    <col min="6924" max="6924" width="43.5703125" customWidth="1"/>
    <col min="7169" max="7169" width="4.28515625" customWidth="1"/>
    <col min="7170" max="7170" width="53.28515625" customWidth="1"/>
    <col min="7171" max="7171" width="25.5703125" customWidth="1"/>
    <col min="7172" max="7172" width="11.28515625" customWidth="1"/>
    <col min="7173" max="7174" width="0" hidden="1" customWidth="1"/>
    <col min="7175" max="7175" width="12.85546875" customWidth="1"/>
    <col min="7176" max="7176" width="11.7109375" customWidth="1"/>
    <col min="7177" max="7177" width="12.140625" customWidth="1"/>
    <col min="7178" max="7178" width="21.5703125" customWidth="1"/>
    <col min="7179" max="7179" width="0" hidden="1" customWidth="1"/>
    <col min="7180" max="7180" width="43.5703125" customWidth="1"/>
    <col min="7425" max="7425" width="4.28515625" customWidth="1"/>
    <col min="7426" max="7426" width="53.28515625" customWidth="1"/>
    <col min="7427" max="7427" width="25.5703125" customWidth="1"/>
    <col min="7428" max="7428" width="11.28515625" customWidth="1"/>
    <col min="7429" max="7430" width="0" hidden="1" customWidth="1"/>
    <col min="7431" max="7431" width="12.85546875" customWidth="1"/>
    <col min="7432" max="7432" width="11.7109375" customWidth="1"/>
    <col min="7433" max="7433" width="12.140625" customWidth="1"/>
    <col min="7434" max="7434" width="21.5703125" customWidth="1"/>
    <col min="7435" max="7435" width="0" hidden="1" customWidth="1"/>
    <col min="7436" max="7436" width="43.5703125" customWidth="1"/>
    <col min="7681" max="7681" width="4.28515625" customWidth="1"/>
    <col min="7682" max="7682" width="53.28515625" customWidth="1"/>
    <col min="7683" max="7683" width="25.5703125" customWidth="1"/>
    <col min="7684" max="7684" width="11.28515625" customWidth="1"/>
    <col min="7685" max="7686" width="0" hidden="1" customWidth="1"/>
    <col min="7687" max="7687" width="12.85546875" customWidth="1"/>
    <col min="7688" max="7688" width="11.7109375" customWidth="1"/>
    <col min="7689" max="7689" width="12.140625" customWidth="1"/>
    <col min="7690" max="7690" width="21.5703125" customWidth="1"/>
    <col min="7691" max="7691" width="0" hidden="1" customWidth="1"/>
    <col min="7692" max="7692" width="43.5703125" customWidth="1"/>
    <col min="7937" max="7937" width="4.28515625" customWidth="1"/>
    <col min="7938" max="7938" width="53.28515625" customWidth="1"/>
    <col min="7939" max="7939" width="25.5703125" customWidth="1"/>
    <col min="7940" max="7940" width="11.28515625" customWidth="1"/>
    <col min="7941" max="7942" width="0" hidden="1" customWidth="1"/>
    <col min="7943" max="7943" width="12.85546875" customWidth="1"/>
    <col min="7944" max="7944" width="11.7109375" customWidth="1"/>
    <col min="7945" max="7945" width="12.140625" customWidth="1"/>
    <col min="7946" max="7946" width="21.5703125" customWidth="1"/>
    <col min="7947" max="7947" width="0" hidden="1" customWidth="1"/>
    <col min="7948" max="7948" width="43.5703125" customWidth="1"/>
    <col min="8193" max="8193" width="4.28515625" customWidth="1"/>
    <col min="8194" max="8194" width="53.28515625" customWidth="1"/>
    <col min="8195" max="8195" width="25.5703125" customWidth="1"/>
    <col min="8196" max="8196" width="11.28515625" customWidth="1"/>
    <col min="8197" max="8198" width="0" hidden="1" customWidth="1"/>
    <col min="8199" max="8199" width="12.85546875" customWidth="1"/>
    <col min="8200" max="8200" width="11.7109375" customWidth="1"/>
    <col min="8201" max="8201" width="12.140625" customWidth="1"/>
    <col min="8202" max="8202" width="21.5703125" customWidth="1"/>
    <col min="8203" max="8203" width="0" hidden="1" customWidth="1"/>
    <col min="8204" max="8204" width="43.5703125" customWidth="1"/>
    <col min="8449" max="8449" width="4.28515625" customWidth="1"/>
    <col min="8450" max="8450" width="53.28515625" customWidth="1"/>
    <col min="8451" max="8451" width="25.5703125" customWidth="1"/>
    <col min="8452" max="8452" width="11.28515625" customWidth="1"/>
    <col min="8453" max="8454" width="0" hidden="1" customWidth="1"/>
    <col min="8455" max="8455" width="12.85546875" customWidth="1"/>
    <col min="8456" max="8456" width="11.7109375" customWidth="1"/>
    <col min="8457" max="8457" width="12.140625" customWidth="1"/>
    <col min="8458" max="8458" width="21.5703125" customWidth="1"/>
    <col min="8459" max="8459" width="0" hidden="1" customWidth="1"/>
    <col min="8460" max="8460" width="43.5703125" customWidth="1"/>
    <col min="8705" max="8705" width="4.28515625" customWidth="1"/>
    <col min="8706" max="8706" width="53.28515625" customWidth="1"/>
    <col min="8707" max="8707" width="25.5703125" customWidth="1"/>
    <col min="8708" max="8708" width="11.28515625" customWidth="1"/>
    <col min="8709" max="8710" width="0" hidden="1" customWidth="1"/>
    <col min="8711" max="8711" width="12.85546875" customWidth="1"/>
    <col min="8712" max="8712" width="11.7109375" customWidth="1"/>
    <col min="8713" max="8713" width="12.140625" customWidth="1"/>
    <col min="8714" max="8714" width="21.5703125" customWidth="1"/>
    <col min="8715" max="8715" width="0" hidden="1" customWidth="1"/>
    <col min="8716" max="8716" width="43.5703125" customWidth="1"/>
    <col min="8961" max="8961" width="4.28515625" customWidth="1"/>
    <col min="8962" max="8962" width="53.28515625" customWidth="1"/>
    <col min="8963" max="8963" width="25.5703125" customWidth="1"/>
    <col min="8964" max="8964" width="11.28515625" customWidth="1"/>
    <col min="8965" max="8966" width="0" hidden="1" customWidth="1"/>
    <col min="8967" max="8967" width="12.85546875" customWidth="1"/>
    <col min="8968" max="8968" width="11.7109375" customWidth="1"/>
    <col min="8969" max="8969" width="12.140625" customWidth="1"/>
    <col min="8970" max="8970" width="21.5703125" customWidth="1"/>
    <col min="8971" max="8971" width="0" hidden="1" customWidth="1"/>
    <col min="8972" max="8972" width="43.5703125" customWidth="1"/>
    <col min="9217" max="9217" width="4.28515625" customWidth="1"/>
    <col min="9218" max="9218" width="53.28515625" customWidth="1"/>
    <col min="9219" max="9219" width="25.5703125" customWidth="1"/>
    <col min="9220" max="9220" width="11.28515625" customWidth="1"/>
    <col min="9221" max="9222" width="0" hidden="1" customWidth="1"/>
    <col min="9223" max="9223" width="12.85546875" customWidth="1"/>
    <col min="9224" max="9224" width="11.7109375" customWidth="1"/>
    <col min="9225" max="9225" width="12.140625" customWidth="1"/>
    <col min="9226" max="9226" width="21.5703125" customWidth="1"/>
    <col min="9227" max="9227" width="0" hidden="1" customWidth="1"/>
    <col min="9228" max="9228" width="43.5703125" customWidth="1"/>
    <col min="9473" max="9473" width="4.28515625" customWidth="1"/>
    <col min="9474" max="9474" width="53.28515625" customWidth="1"/>
    <col min="9475" max="9475" width="25.5703125" customWidth="1"/>
    <col min="9476" max="9476" width="11.28515625" customWidth="1"/>
    <col min="9477" max="9478" width="0" hidden="1" customWidth="1"/>
    <col min="9479" max="9479" width="12.85546875" customWidth="1"/>
    <col min="9480" max="9480" width="11.7109375" customWidth="1"/>
    <col min="9481" max="9481" width="12.140625" customWidth="1"/>
    <col min="9482" max="9482" width="21.5703125" customWidth="1"/>
    <col min="9483" max="9483" width="0" hidden="1" customWidth="1"/>
    <col min="9484" max="9484" width="43.5703125" customWidth="1"/>
    <col min="9729" max="9729" width="4.28515625" customWidth="1"/>
    <col min="9730" max="9730" width="53.28515625" customWidth="1"/>
    <col min="9731" max="9731" width="25.5703125" customWidth="1"/>
    <col min="9732" max="9732" width="11.28515625" customWidth="1"/>
    <col min="9733" max="9734" width="0" hidden="1" customWidth="1"/>
    <col min="9735" max="9735" width="12.85546875" customWidth="1"/>
    <col min="9736" max="9736" width="11.7109375" customWidth="1"/>
    <col min="9737" max="9737" width="12.140625" customWidth="1"/>
    <col min="9738" max="9738" width="21.5703125" customWidth="1"/>
    <col min="9739" max="9739" width="0" hidden="1" customWidth="1"/>
    <col min="9740" max="9740" width="43.5703125" customWidth="1"/>
    <col min="9985" max="9985" width="4.28515625" customWidth="1"/>
    <col min="9986" max="9986" width="53.28515625" customWidth="1"/>
    <col min="9987" max="9987" width="25.5703125" customWidth="1"/>
    <col min="9988" max="9988" width="11.28515625" customWidth="1"/>
    <col min="9989" max="9990" width="0" hidden="1" customWidth="1"/>
    <col min="9991" max="9991" width="12.85546875" customWidth="1"/>
    <col min="9992" max="9992" width="11.7109375" customWidth="1"/>
    <col min="9993" max="9993" width="12.140625" customWidth="1"/>
    <col min="9994" max="9994" width="21.5703125" customWidth="1"/>
    <col min="9995" max="9995" width="0" hidden="1" customWidth="1"/>
    <col min="9996" max="9996" width="43.5703125" customWidth="1"/>
    <col min="10241" max="10241" width="4.28515625" customWidth="1"/>
    <col min="10242" max="10242" width="53.28515625" customWidth="1"/>
    <col min="10243" max="10243" width="25.5703125" customWidth="1"/>
    <col min="10244" max="10244" width="11.28515625" customWidth="1"/>
    <col min="10245" max="10246" width="0" hidden="1" customWidth="1"/>
    <col min="10247" max="10247" width="12.85546875" customWidth="1"/>
    <col min="10248" max="10248" width="11.7109375" customWidth="1"/>
    <col min="10249" max="10249" width="12.140625" customWidth="1"/>
    <col min="10250" max="10250" width="21.5703125" customWidth="1"/>
    <col min="10251" max="10251" width="0" hidden="1" customWidth="1"/>
    <col min="10252" max="10252" width="43.5703125" customWidth="1"/>
    <col min="10497" max="10497" width="4.28515625" customWidth="1"/>
    <col min="10498" max="10498" width="53.28515625" customWidth="1"/>
    <col min="10499" max="10499" width="25.5703125" customWidth="1"/>
    <col min="10500" max="10500" width="11.28515625" customWidth="1"/>
    <col min="10501" max="10502" width="0" hidden="1" customWidth="1"/>
    <col min="10503" max="10503" width="12.85546875" customWidth="1"/>
    <col min="10504" max="10504" width="11.7109375" customWidth="1"/>
    <col min="10505" max="10505" width="12.140625" customWidth="1"/>
    <col min="10506" max="10506" width="21.5703125" customWidth="1"/>
    <col min="10507" max="10507" width="0" hidden="1" customWidth="1"/>
    <col min="10508" max="10508" width="43.5703125" customWidth="1"/>
    <col min="10753" max="10753" width="4.28515625" customWidth="1"/>
    <col min="10754" max="10754" width="53.28515625" customWidth="1"/>
    <col min="10755" max="10755" width="25.5703125" customWidth="1"/>
    <col min="10756" max="10756" width="11.28515625" customWidth="1"/>
    <col min="10757" max="10758" width="0" hidden="1" customWidth="1"/>
    <col min="10759" max="10759" width="12.85546875" customWidth="1"/>
    <col min="10760" max="10760" width="11.7109375" customWidth="1"/>
    <col min="10761" max="10761" width="12.140625" customWidth="1"/>
    <col min="10762" max="10762" width="21.5703125" customWidth="1"/>
    <col min="10763" max="10763" width="0" hidden="1" customWidth="1"/>
    <col min="10764" max="10764" width="43.5703125" customWidth="1"/>
    <col min="11009" max="11009" width="4.28515625" customWidth="1"/>
    <col min="11010" max="11010" width="53.28515625" customWidth="1"/>
    <col min="11011" max="11011" width="25.5703125" customWidth="1"/>
    <col min="11012" max="11012" width="11.28515625" customWidth="1"/>
    <col min="11013" max="11014" width="0" hidden="1" customWidth="1"/>
    <col min="11015" max="11015" width="12.85546875" customWidth="1"/>
    <col min="11016" max="11016" width="11.7109375" customWidth="1"/>
    <col min="11017" max="11017" width="12.140625" customWidth="1"/>
    <col min="11018" max="11018" width="21.5703125" customWidth="1"/>
    <col min="11019" max="11019" width="0" hidden="1" customWidth="1"/>
    <col min="11020" max="11020" width="43.5703125" customWidth="1"/>
    <col min="11265" max="11265" width="4.28515625" customWidth="1"/>
    <col min="11266" max="11266" width="53.28515625" customWidth="1"/>
    <col min="11267" max="11267" width="25.5703125" customWidth="1"/>
    <col min="11268" max="11268" width="11.28515625" customWidth="1"/>
    <col min="11269" max="11270" width="0" hidden="1" customWidth="1"/>
    <col min="11271" max="11271" width="12.85546875" customWidth="1"/>
    <col min="11272" max="11272" width="11.7109375" customWidth="1"/>
    <col min="11273" max="11273" width="12.140625" customWidth="1"/>
    <col min="11274" max="11274" width="21.5703125" customWidth="1"/>
    <col min="11275" max="11275" width="0" hidden="1" customWidth="1"/>
    <col min="11276" max="11276" width="43.5703125" customWidth="1"/>
    <col min="11521" max="11521" width="4.28515625" customWidth="1"/>
    <col min="11522" max="11522" width="53.28515625" customWidth="1"/>
    <col min="11523" max="11523" width="25.5703125" customWidth="1"/>
    <col min="11524" max="11524" width="11.28515625" customWidth="1"/>
    <col min="11525" max="11526" width="0" hidden="1" customWidth="1"/>
    <col min="11527" max="11527" width="12.85546875" customWidth="1"/>
    <col min="11528" max="11528" width="11.7109375" customWidth="1"/>
    <col min="11529" max="11529" width="12.140625" customWidth="1"/>
    <col min="11530" max="11530" width="21.5703125" customWidth="1"/>
    <col min="11531" max="11531" width="0" hidden="1" customWidth="1"/>
    <col min="11532" max="11532" width="43.5703125" customWidth="1"/>
    <col min="11777" max="11777" width="4.28515625" customWidth="1"/>
    <col min="11778" max="11778" width="53.28515625" customWidth="1"/>
    <col min="11779" max="11779" width="25.5703125" customWidth="1"/>
    <col min="11780" max="11780" width="11.28515625" customWidth="1"/>
    <col min="11781" max="11782" width="0" hidden="1" customWidth="1"/>
    <col min="11783" max="11783" width="12.85546875" customWidth="1"/>
    <col min="11784" max="11784" width="11.7109375" customWidth="1"/>
    <col min="11785" max="11785" width="12.140625" customWidth="1"/>
    <col min="11786" max="11786" width="21.5703125" customWidth="1"/>
    <col min="11787" max="11787" width="0" hidden="1" customWidth="1"/>
    <col min="11788" max="11788" width="43.5703125" customWidth="1"/>
    <col min="12033" max="12033" width="4.28515625" customWidth="1"/>
    <col min="12034" max="12034" width="53.28515625" customWidth="1"/>
    <col min="12035" max="12035" width="25.5703125" customWidth="1"/>
    <col min="12036" max="12036" width="11.28515625" customWidth="1"/>
    <col min="12037" max="12038" width="0" hidden="1" customWidth="1"/>
    <col min="12039" max="12039" width="12.85546875" customWidth="1"/>
    <col min="12040" max="12040" width="11.7109375" customWidth="1"/>
    <col min="12041" max="12041" width="12.140625" customWidth="1"/>
    <col min="12042" max="12042" width="21.5703125" customWidth="1"/>
    <col min="12043" max="12043" width="0" hidden="1" customWidth="1"/>
    <col min="12044" max="12044" width="43.5703125" customWidth="1"/>
    <col min="12289" max="12289" width="4.28515625" customWidth="1"/>
    <col min="12290" max="12290" width="53.28515625" customWidth="1"/>
    <col min="12291" max="12291" width="25.5703125" customWidth="1"/>
    <col min="12292" max="12292" width="11.28515625" customWidth="1"/>
    <col min="12293" max="12294" width="0" hidden="1" customWidth="1"/>
    <col min="12295" max="12295" width="12.85546875" customWidth="1"/>
    <col min="12296" max="12296" width="11.7109375" customWidth="1"/>
    <col min="12297" max="12297" width="12.140625" customWidth="1"/>
    <col min="12298" max="12298" width="21.5703125" customWidth="1"/>
    <col min="12299" max="12299" width="0" hidden="1" customWidth="1"/>
    <col min="12300" max="12300" width="43.5703125" customWidth="1"/>
    <col min="12545" max="12545" width="4.28515625" customWidth="1"/>
    <col min="12546" max="12546" width="53.28515625" customWidth="1"/>
    <col min="12547" max="12547" width="25.5703125" customWidth="1"/>
    <col min="12548" max="12548" width="11.28515625" customWidth="1"/>
    <col min="12549" max="12550" width="0" hidden="1" customWidth="1"/>
    <col min="12551" max="12551" width="12.85546875" customWidth="1"/>
    <col min="12552" max="12552" width="11.7109375" customWidth="1"/>
    <col min="12553" max="12553" width="12.140625" customWidth="1"/>
    <col min="12554" max="12554" width="21.5703125" customWidth="1"/>
    <col min="12555" max="12555" width="0" hidden="1" customWidth="1"/>
    <col min="12556" max="12556" width="43.5703125" customWidth="1"/>
    <col min="12801" max="12801" width="4.28515625" customWidth="1"/>
    <col min="12802" max="12802" width="53.28515625" customWidth="1"/>
    <col min="12803" max="12803" width="25.5703125" customWidth="1"/>
    <col min="12804" max="12804" width="11.28515625" customWidth="1"/>
    <col min="12805" max="12806" width="0" hidden="1" customWidth="1"/>
    <col min="12807" max="12807" width="12.85546875" customWidth="1"/>
    <col min="12808" max="12808" width="11.7109375" customWidth="1"/>
    <col min="12809" max="12809" width="12.140625" customWidth="1"/>
    <col min="12810" max="12810" width="21.5703125" customWidth="1"/>
    <col min="12811" max="12811" width="0" hidden="1" customWidth="1"/>
    <col min="12812" max="12812" width="43.5703125" customWidth="1"/>
    <col min="13057" max="13057" width="4.28515625" customWidth="1"/>
    <col min="13058" max="13058" width="53.28515625" customWidth="1"/>
    <col min="13059" max="13059" width="25.5703125" customWidth="1"/>
    <col min="13060" max="13060" width="11.28515625" customWidth="1"/>
    <col min="13061" max="13062" width="0" hidden="1" customWidth="1"/>
    <col min="13063" max="13063" width="12.85546875" customWidth="1"/>
    <col min="13064" max="13064" width="11.7109375" customWidth="1"/>
    <col min="13065" max="13065" width="12.140625" customWidth="1"/>
    <col min="13066" max="13066" width="21.5703125" customWidth="1"/>
    <col min="13067" max="13067" width="0" hidden="1" customWidth="1"/>
    <col min="13068" max="13068" width="43.5703125" customWidth="1"/>
    <col min="13313" max="13313" width="4.28515625" customWidth="1"/>
    <col min="13314" max="13314" width="53.28515625" customWidth="1"/>
    <col min="13315" max="13315" width="25.5703125" customWidth="1"/>
    <col min="13316" max="13316" width="11.28515625" customWidth="1"/>
    <col min="13317" max="13318" width="0" hidden="1" customWidth="1"/>
    <col min="13319" max="13319" width="12.85546875" customWidth="1"/>
    <col min="13320" max="13320" width="11.7109375" customWidth="1"/>
    <col min="13321" max="13321" width="12.140625" customWidth="1"/>
    <col min="13322" max="13322" width="21.5703125" customWidth="1"/>
    <col min="13323" max="13323" width="0" hidden="1" customWidth="1"/>
    <col min="13324" max="13324" width="43.5703125" customWidth="1"/>
    <col min="13569" max="13569" width="4.28515625" customWidth="1"/>
    <col min="13570" max="13570" width="53.28515625" customWidth="1"/>
    <col min="13571" max="13571" width="25.5703125" customWidth="1"/>
    <col min="13572" max="13572" width="11.28515625" customWidth="1"/>
    <col min="13573" max="13574" width="0" hidden="1" customWidth="1"/>
    <col min="13575" max="13575" width="12.85546875" customWidth="1"/>
    <col min="13576" max="13576" width="11.7109375" customWidth="1"/>
    <col min="13577" max="13577" width="12.140625" customWidth="1"/>
    <col min="13578" max="13578" width="21.5703125" customWidth="1"/>
    <col min="13579" max="13579" width="0" hidden="1" customWidth="1"/>
    <col min="13580" max="13580" width="43.5703125" customWidth="1"/>
    <col min="13825" max="13825" width="4.28515625" customWidth="1"/>
    <col min="13826" max="13826" width="53.28515625" customWidth="1"/>
    <col min="13827" max="13827" width="25.5703125" customWidth="1"/>
    <col min="13828" max="13828" width="11.28515625" customWidth="1"/>
    <col min="13829" max="13830" width="0" hidden="1" customWidth="1"/>
    <col min="13831" max="13831" width="12.85546875" customWidth="1"/>
    <col min="13832" max="13832" width="11.7109375" customWidth="1"/>
    <col min="13833" max="13833" width="12.140625" customWidth="1"/>
    <col min="13834" max="13834" width="21.5703125" customWidth="1"/>
    <col min="13835" max="13835" width="0" hidden="1" customWidth="1"/>
    <col min="13836" max="13836" width="43.5703125" customWidth="1"/>
    <col min="14081" max="14081" width="4.28515625" customWidth="1"/>
    <col min="14082" max="14082" width="53.28515625" customWidth="1"/>
    <col min="14083" max="14083" width="25.5703125" customWidth="1"/>
    <col min="14084" max="14084" width="11.28515625" customWidth="1"/>
    <col min="14085" max="14086" width="0" hidden="1" customWidth="1"/>
    <col min="14087" max="14087" width="12.85546875" customWidth="1"/>
    <col min="14088" max="14088" width="11.7109375" customWidth="1"/>
    <col min="14089" max="14089" width="12.140625" customWidth="1"/>
    <col min="14090" max="14090" width="21.5703125" customWidth="1"/>
    <col min="14091" max="14091" width="0" hidden="1" customWidth="1"/>
    <col min="14092" max="14092" width="43.5703125" customWidth="1"/>
    <col min="14337" max="14337" width="4.28515625" customWidth="1"/>
    <col min="14338" max="14338" width="53.28515625" customWidth="1"/>
    <col min="14339" max="14339" width="25.5703125" customWidth="1"/>
    <col min="14340" max="14340" width="11.28515625" customWidth="1"/>
    <col min="14341" max="14342" width="0" hidden="1" customWidth="1"/>
    <col min="14343" max="14343" width="12.85546875" customWidth="1"/>
    <col min="14344" max="14344" width="11.7109375" customWidth="1"/>
    <col min="14345" max="14345" width="12.140625" customWidth="1"/>
    <col min="14346" max="14346" width="21.5703125" customWidth="1"/>
    <col min="14347" max="14347" width="0" hidden="1" customWidth="1"/>
    <col min="14348" max="14348" width="43.5703125" customWidth="1"/>
    <col min="14593" max="14593" width="4.28515625" customWidth="1"/>
    <col min="14594" max="14594" width="53.28515625" customWidth="1"/>
    <col min="14595" max="14595" width="25.5703125" customWidth="1"/>
    <col min="14596" max="14596" width="11.28515625" customWidth="1"/>
    <col min="14597" max="14598" width="0" hidden="1" customWidth="1"/>
    <col min="14599" max="14599" width="12.85546875" customWidth="1"/>
    <col min="14600" max="14600" width="11.7109375" customWidth="1"/>
    <col min="14601" max="14601" width="12.140625" customWidth="1"/>
    <col min="14602" max="14602" width="21.5703125" customWidth="1"/>
    <col min="14603" max="14603" width="0" hidden="1" customWidth="1"/>
    <col min="14604" max="14604" width="43.5703125" customWidth="1"/>
    <col min="14849" max="14849" width="4.28515625" customWidth="1"/>
    <col min="14850" max="14850" width="53.28515625" customWidth="1"/>
    <col min="14851" max="14851" width="25.5703125" customWidth="1"/>
    <col min="14852" max="14852" width="11.28515625" customWidth="1"/>
    <col min="14853" max="14854" width="0" hidden="1" customWidth="1"/>
    <col min="14855" max="14855" width="12.85546875" customWidth="1"/>
    <col min="14856" max="14856" width="11.7109375" customWidth="1"/>
    <col min="14857" max="14857" width="12.140625" customWidth="1"/>
    <col min="14858" max="14858" width="21.5703125" customWidth="1"/>
    <col min="14859" max="14859" width="0" hidden="1" customWidth="1"/>
    <col min="14860" max="14860" width="43.5703125" customWidth="1"/>
    <col min="15105" max="15105" width="4.28515625" customWidth="1"/>
    <col min="15106" max="15106" width="53.28515625" customWidth="1"/>
    <col min="15107" max="15107" width="25.5703125" customWidth="1"/>
    <col min="15108" max="15108" width="11.28515625" customWidth="1"/>
    <col min="15109" max="15110" width="0" hidden="1" customWidth="1"/>
    <col min="15111" max="15111" width="12.85546875" customWidth="1"/>
    <col min="15112" max="15112" width="11.7109375" customWidth="1"/>
    <col min="15113" max="15113" width="12.140625" customWidth="1"/>
    <col min="15114" max="15114" width="21.5703125" customWidth="1"/>
    <col min="15115" max="15115" width="0" hidden="1" customWidth="1"/>
    <col min="15116" max="15116" width="43.5703125" customWidth="1"/>
    <col min="15361" max="15361" width="4.28515625" customWidth="1"/>
    <col min="15362" max="15362" width="53.28515625" customWidth="1"/>
    <col min="15363" max="15363" width="25.5703125" customWidth="1"/>
    <col min="15364" max="15364" width="11.28515625" customWidth="1"/>
    <col min="15365" max="15366" width="0" hidden="1" customWidth="1"/>
    <col min="15367" max="15367" width="12.85546875" customWidth="1"/>
    <col min="15368" max="15368" width="11.7109375" customWidth="1"/>
    <col min="15369" max="15369" width="12.140625" customWidth="1"/>
    <col min="15370" max="15370" width="21.5703125" customWidth="1"/>
    <col min="15371" max="15371" width="0" hidden="1" customWidth="1"/>
    <col min="15372" max="15372" width="43.5703125" customWidth="1"/>
    <col min="15617" max="15617" width="4.28515625" customWidth="1"/>
    <col min="15618" max="15618" width="53.28515625" customWidth="1"/>
    <col min="15619" max="15619" width="25.5703125" customWidth="1"/>
    <col min="15620" max="15620" width="11.28515625" customWidth="1"/>
    <col min="15621" max="15622" width="0" hidden="1" customWidth="1"/>
    <col min="15623" max="15623" width="12.85546875" customWidth="1"/>
    <col min="15624" max="15624" width="11.7109375" customWidth="1"/>
    <col min="15625" max="15625" width="12.140625" customWidth="1"/>
    <col min="15626" max="15626" width="21.5703125" customWidth="1"/>
    <col min="15627" max="15627" width="0" hidden="1" customWidth="1"/>
    <col min="15628" max="15628" width="43.5703125" customWidth="1"/>
    <col min="15873" max="15873" width="4.28515625" customWidth="1"/>
    <col min="15874" max="15874" width="53.28515625" customWidth="1"/>
    <col min="15875" max="15875" width="25.5703125" customWidth="1"/>
    <col min="15876" max="15876" width="11.28515625" customWidth="1"/>
    <col min="15877" max="15878" width="0" hidden="1" customWidth="1"/>
    <col min="15879" max="15879" width="12.85546875" customWidth="1"/>
    <col min="15880" max="15880" width="11.7109375" customWidth="1"/>
    <col min="15881" max="15881" width="12.140625" customWidth="1"/>
    <col min="15882" max="15882" width="21.5703125" customWidth="1"/>
    <col min="15883" max="15883" width="0" hidden="1" customWidth="1"/>
    <col min="15884" max="15884" width="43.5703125" customWidth="1"/>
    <col min="16129" max="16129" width="4.28515625" customWidth="1"/>
    <col min="16130" max="16130" width="53.28515625" customWidth="1"/>
    <col min="16131" max="16131" width="25.5703125" customWidth="1"/>
    <col min="16132" max="16132" width="11.28515625" customWidth="1"/>
    <col min="16133" max="16134" width="0" hidden="1" customWidth="1"/>
    <col min="16135" max="16135" width="12.85546875" customWidth="1"/>
    <col min="16136" max="16136" width="11.7109375" customWidth="1"/>
    <col min="16137" max="16137" width="12.140625" customWidth="1"/>
    <col min="16138" max="16138" width="21.5703125" customWidth="1"/>
    <col min="16139" max="16139" width="0" hidden="1" customWidth="1"/>
    <col min="16140" max="16140" width="43.5703125" customWidth="1"/>
  </cols>
  <sheetData>
    <row r="1" spans="1:11" ht="18.75" customHeight="1" x14ac:dyDescent="0.25">
      <c r="A1" s="304" t="s">
        <v>282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1" ht="66" customHeight="1" x14ac:dyDescent="0.25">
      <c r="A2" s="298" t="s">
        <v>329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1" ht="19.5" customHeight="1" x14ac:dyDescent="0.25">
      <c r="A3" s="300" t="s">
        <v>286</v>
      </c>
      <c r="B3" s="300"/>
      <c r="C3" s="300"/>
      <c r="D3" s="300"/>
      <c r="E3" s="300"/>
      <c r="F3" s="300"/>
      <c r="G3" s="300"/>
      <c r="H3" s="300"/>
      <c r="I3" s="300"/>
      <c r="J3" s="300"/>
    </row>
    <row r="4" spans="1:11" x14ac:dyDescent="0.25">
      <c r="A4" s="305" t="s">
        <v>79</v>
      </c>
      <c r="B4" s="305"/>
      <c r="C4" s="305"/>
      <c r="D4" s="305"/>
      <c r="E4" s="305"/>
      <c r="F4" s="305"/>
      <c r="G4" s="305"/>
      <c r="H4" s="305"/>
      <c r="I4" s="305"/>
      <c r="J4" s="305"/>
    </row>
    <row r="5" spans="1:11" ht="45" x14ac:dyDescent="0.25">
      <c r="A5" s="50" t="s">
        <v>0</v>
      </c>
      <c r="B5" s="51" t="s">
        <v>80</v>
      </c>
      <c r="C5" s="51" t="s">
        <v>81</v>
      </c>
      <c r="D5" s="51" t="s">
        <v>82</v>
      </c>
      <c r="E5" s="52"/>
      <c r="F5" s="52"/>
      <c r="G5" s="51" t="s">
        <v>83</v>
      </c>
      <c r="H5" s="51" t="s">
        <v>84</v>
      </c>
      <c r="I5" s="51" t="s">
        <v>85</v>
      </c>
      <c r="J5" s="53" t="s">
        <v>86</v>
      </c>
      <c r="K5" s="54"/>
    </row>
    <row r="6" spans="1:11" s="54" customFormat="1" ht="26.25" customHeight="1" x14ac:dyDescent="0.25">
      <c r="A6" s="55">
        <v>1</v>
      </c>
      <c r="B6" s="56" t="s">
        <v>87</v>
      </c>
      <c r="C6" s="57" t="s">
        <v>88</v>
      </c>
      <c r="D6" s="58">
        <v>1</v>
      </c>
      <c r="E6" s="55"/>
      <c r="F6" s="55"/>
      <c r="G6" s="59" t="s">
        <v>89</v>
      </c>
      <c r="H6" s="60">
        <v>65</v>
      </c>
      <c r="I6" s="55">
        <v>49.2</v>
      </c>
      <c r="J6" s="61">
        <f>PRODUCT(I6,H6,D6)</f>
        <v>3198</v>
      </c>
      <c r="K6"/>
    </row>
    <row r="7" spans="1:11" hidden="1" x14ac:dyDescent="0.25">
      <c r="A7" s="50">
        <v>2</v>
      </c>
      <c r="B7" s="62" t="s">
        <v>90</v>
      </c>
      <c r="C7" s="57" t="s">
        <v>91</v>
      </c>
      <c r="D7" s="58">
        <v>1</v>
      </c>
      <c r="E7" s="55" t="s">
        <v>92</v>
      </c>
      <c r="F7" s="63"/>
      <c r="G7" s="55" t="s">
        <v>93</v>
      </c>
      <c r="H7" s="58">
        <v>2</v>
      </c>
      <c r="I7" s="58">
        <v>535</v>
      </c>
      <c r="J7" s="61"/>
      <c r="K7" s="64"/>
    </row>
    <row r="8" spans="1:11" hidden="1" x14ac:dyDescent="0.25">
      <c r="A8" s="50">
        <v>3</v>
      </c>
      <c r="B8" s="65" t="s">
        <v>94</v>
      </c>
      <c r="C8" s="57" t="s">
        <v>95</v>
      </c>
      <c r="D8" s="58">
        <v>1</v>
      </c>
      <c r="E8" s="55"/>
      <c r="F8" s="63"/>
      <c r="G8" s="55" t="s">
        <v>96</v>
      </c>
      <c r="H8" s="58">
        <v>0</v>
      </c>
      <c r="I8" s="58">
        <v>25.2</v>
      </c>
      <c r="J8" s="61">
        <f>I8*H8</f>
        <v>0</v>
      </c>
      <c r="K8" s="64"/>
    </row>
    <row r="9" spans="1:11" s="64" customFormat="1" ht="16.5" customHeight="1" x14ac:dyDescent="0.2">
      <c r="A9" s="50">
        <v>2</v>
      </c>
      <c r="B9" s="62" t="s">
        <v>97</v>
      </c>
      <c r="C9" s="57" t="s">
        <v>98</v>
      </c>
      <c r="D9" s="58">
        <v>1</v>
      </c>
      <c r="E9" s="55"/>
      <c r="F9" s="63"/>
      <c r="G9" s="55" t="s">
        <v>99</v>
      </c>
      <c r="H9" s="66">
        <v>9</v>
      </c>
      <c r="I9" s="58">
        <v>6.9</v>
      </c>
      <c r="J9" s="61">
        <f>PRODUCT(I9,H9,D9)</f>
        <v>62.1</v>
      </c>
    </row>
    <row r="10" spans="1:11" s="64" customFormat="1" ht="27.75" customHeight="1" x14ac:dyDescent="0.25">
      <c r="A10" s="50">
        <v>3</v>
      </c>
      <c r="B10" s="62" t="s">
        <v>100</v>
      </c>
      <c r="C10" s="57" t="s">
        <v>98</v>
      </c>
      <c r="D10" s="58">
        <v>1</v>
      </c>
      <c r="E10" s="55"/>
      <c r="F10" s="63"/>
      <c r="G10" s="55" t="s">
        <v>99</v>
      </c>
      <c r="H10" s="67">
        <v>9</v>
      </c>
      <c r="I10" s="58">
        <v>6.9</v>
      </c>
      <c r="J10" s="61">
        <f>I10*H10</f>
        <v>62.1</v>
      </c>
    </row>
    <row r="11" spans="1:11" s="64" customFormat="1" x14ac:dyDescent="0.25">
      <c r="A11" s="50">
        <v>4</v>
      </c>
      <c r="B11" s="68" t="s">
        <v>101</v>
      </c>
      <c r="C11" s="69" t="s">
        <v>102</v>
      </c>
      <c r="D11" s="70">
        <v>0.5</v>
      </c>
      <c r="E11" s="71"/>
      <c r="F11" s="72"/>
      <c r="G11" s="71" t="s">
        <v>99</v>
      </c>
      <c r="H11" s="73">
        <v>5</v>
      </c>
      <c r="I11" s="70">
        <v>9.6999999999999993</v>
      </c>
      <c r="J11" s="61">
        <f>I11*H11</f>
        <v>48.5</v>
      </c>
    </row>
    <row r="12" spans="1:11" s="64" customFormat="1" x14ac:dyDescent="0.25">
      <c r="A12" s="50">
        <v>5</v>
      </c>
      <c r="B12" s="68" t="s">
        <v>103</v>
      </c>
      <c r="C12" s="69" t="s">
        <v>104</v>
      </c>
      <c r="D12" s="70">
        <v>0.5</v>
      </c>
      <c r="E12" s="71"/>
      <c r="F12" s="72"/>
      <c r="G12" s="74" t="s">
        <v>99</v>
      </c>
      <c r="H12" s="73">
        <v>4</v>
      </c>
      <c r="I12" s="70">
        <v>4.5999999999999996</v>
      </c>
      <c r="J12" s="61">
        <f>I12*H12</f>
        <v>18.399999999999999</v>
      </c>
    </row>
    <row r="13" spans="1:11" s="64" customFormat="1" hidden="1" x14ac:dyDescent="0.25">
      <c r="A13" s="50">
        <v>6</v>
      </c>
      <c r="B13" s="75" t="s">
        <v>105</v>
      </c>
      <c r="C13" s="57" t="s">
        <v>106</v>
      </c>
      <c r="D13" s="58">
        <v>1.1000000000000001</v>
      </c>
      <c r="E13" s="55"/>
      <c r="F13" s="63"/>
      <c r="G13" s="59" t="s">
        <v>107</v>
      </c>
      <c r="H13" s="66">
        <v>0</v>
      </c>
      <c r="I13" s="58">
        <f>(J6+J7)*0.1</f>
        <v>319.8</v>
      </c>
      <c r="J13" s="61"/>
    </row>
    <row r="14" spans="1:11" s="64" customFormat="1" ht="12.75" x14ac:dyDescent="0.2">
      <c r="A14" s="306"/>
      <c r="B14" s="307"/>
      <c r="C14" s="76"/>
      <c r="D14" s="58"/>
      <c r="E14" s="55"/>
      <c r="F14" s="63"/>
      <c r="G14" s="55"/>
      <c r="H14" s="66"/>
      <c r="I14" s="58"/>
      <c r="J14" s="77">
        <f>J13+J11+J10+J9+J12+J6</f>
        <v>3389.1</v>
      </c>
    </row>
    <row r="15" spans="1:11" s="64" customFormat="1" ht="12.75" x14ac:dyDescent="0.2">
      <c r="A15" s="50"/>
      <c r="B15" s="78" t="s">
        <v>108</v>
      </c>
      <c r="C15" s="57" t="s">
        <v>109</v>
      </c>
      <c r="D15" s="58">
        <v>1</v>
      </c>
      <c r="E15" s="55"/>
      <c r="F15" s="63"/>
      <c r="G15" s="55" t="s">
        <v>110</v>
      </c>
      <c r="H15" s="66"/>
      <c r="I15" s="58">
        <f>J14</f>
        <v>3389.1</v>
      </c>
      <c r="J15" s="61">
        <f>PRODUCT(J14,D15)</f>
        <v>3389.1</v>
      </c>
    </row>
    <row r="16" spans="1:11" s="64" customFormat="1" ht="12.75" x14ac:dyDescent="0.2">
      <c r="A16" s="50"/>
      <c r="B16" s="78" t="s">
        <v>111</v>
      </c>
      <c r="C16" s="57" t="s">
        <v>112</v>
      </c>
      <c r="D16" s="58">
        <v>0.85</v>
      </c>
      <c r="E16" s="55"/>
      <c r="F16" s="63"/>
      <c r="G16" s="79" t="s">
        <v>113</v>
      </c>
      <c r="H16" s="66"/>
      <c r="I16" s="58">
        <f>J15</f>
        <v>3389.1</v>
      </c>
      <c r="J16" s="61">
        <f>PRODUCT(J15,D16)</f>
        <v>2880.7349999999997</v>
      </c>
    </row>
    <row r="17" spans="1:11" s="64" customFormat="1" x14ac:dyDescent="0.25">
      <c r="A17" s="50">
        <v>6</v>
      </c>
      <c r="B17" s="80" t="s">
        <v>114</v>
      </c>
      <c r="C17" s="81" t="s">
        <v>115</v>
      </c>
      <c r="D17" s="82">
        <v>8.7499999999999994E-2</v>
      </c>
      <c r="E17" s="63"/>
      <c r="F17" s="63"/>
      <c r="G17" s="79" t="s">
        <v>116</v>
      </c>
      <c r="H17" s="66"/>
      <c r="I17" s="58">
        <f>J16</f>
        <v>2880.7349999999997</v>
      </c>
      <c r="J17" s="61">
        <f>I17*D17</f>
        <v>252.06431249999994</v>
      </c>
      <c r="K17"/>
    </row>
    <row r="18" spans="1:11" x14ac:dyDescent="0.25">
      <c r="A18" s="50"/>
      <c r="B18" s="83" t="s">
        <v>117</v>
      </c>
      <c r="C18" s="84"/>
      <c r="D18" s="55"/>
      <c r="E18" s="55"/>
      <c r="F18" s="85"/>
      <c r="G18" s="55"/>
      <c r="H18" s="55"/>
      <c r="I18" s="86"/>
      <c r="J18" s="87">
        <f>J17+J16</f>
        <v>3132.7993124999998</v>
      </c>
    </row>
    <row r="19" spans="1:11" ht="22.15" customHeight="1" x14ac:dyDescent="0.25">
      <c r="A19" s="50"/>
      <c r="B19" s="83" t="s">
        <v>118</v>
      </c>
      <c r="C19" s="88" t="s">
        <v>119</v>
      </c>
      <c r="D19" s="118">
        <v>61.09</v>
      </c>
      <c r="E19" s="55"/>
      <c r="F19" s="85"/>
      <c r="G19" s="55"/>
      <c r="H19" s="55"/>
      <c r="I19" s="86"/>
      <c r="J19" s="90">
        <f>ROUND(J18*D19,2)</f>
        <v>191382.71</v>
      </c>
    </row>
    <row r="20" spans="1:11" x14ac:dyDescent="0.25">
      <c r="A20" s="301" t="s">
        <v>120</v>
      </c>
      <c r="B20" s="302"/>
      <c r="C20" s="302"/>
      <c r="D20" s="302"/>
      <c r="E20" s="302"/>
      <c r="F20" s="302"/>
      <c r="G20" s="302"/>
      <c r="H20" s="302"/>
      <c r="I20" s="302"/>
      <c r="J20" s="303"/>
    </row>
    <row r="21" spans="1:11" x14ac:dyDescent="0.25">
      <c r="A21" s="301" t="s">
        <v>121</v>
      </c>
      <c r="B21" s="302"/>
      <c r="C21" s="302"/>
      <c r="D21" s="302"/>
      <c r="E21" s="302"/>
      <c r="F21" s="302"/>
      <c r="G21" s="302"/>
      <c r="H21" s="302"/>
      <c r="I21" s="302"/>
      <c r="J21" s="303"/>
    </row>
    <row r="22" spans="1:11" hidden="1" x14ac:dyDescent="0.25">
      <c r="A22" s="50">
        <v>14</v>
      </c>
      <c r="B22" s="75" t="s">
        <v>122</v>
      </c>
      <c r="C22" s="57" t="s">
        <v>123</v>
      </c>
      <c r="D22" s="91">
        <v>1</v>
      </c>
      <c r="E22" s="92"/>
      <c r="F22" s="92"/>
      <c r="G22" s="93" t="s">
        <v>124</v>
      </c>
      <c r="H22" s="91">
        <f>H9</f>
        <v>9</v>
      </c>
      <c r="I22" s="91">
        <v>148</v>
      </c>
      <c r="J22" s="94"/>
    </row>
    <row r="23" spans="1:11" x14ac:dyDescent="0.25">
      <c r="A23" s="76">
        <v>7</v>
      </c>
      <c r="B23" s="95" t="s">
        <v>87</v>
      </c>
      <c r="C23" s="57" t="s">
        <v>125</v>
      </c>
      <c r="D23" s="91">
        <v>1</v>
      </c>
      <c r="E23" s="76" t="s">
        <v>126</v>
      </c>
      <c r="F23" s="76"/>
      <c r="G23" s="76" t="s">
        <v>89</v>
      </c>
      <c r="H23" s="96">
        <v>65</v>
      </c>
      <c r="I23" s="91">
        <v>14.8</v>
      </c>
      <c r="J23" s="97">
        <f>PRODUCT(I23,H23,D23)</f>
        <v>962</v>
      </c>
    </row>
    <row r="24" spans="1:11" hidden="1" x14ac:dyDescent="0.25">
      <c r="A24" s="50">
        <v>16</v>
      </c>
      <c r="B24" s="75" t="s">
        <v>127</v>
      </c>
      <c r="C24" s="57" t="s">
        <v>91</v>
      </c>
      <c r="D24" s="91">
        <v>1</v>
      </c>
      <c r="E24" s="76"/>
      <c r="F24" s="76"/>
      <c r="G24" s="76" t="s">
        <v>93</v>
      </c>
      <c r="H24" s="91">
        <f>H7</f>
        <v>2</v>
      </c>
      <c r="I24" s="91">
        <v>161</v>
      </c>
      <c r="J24" s="97"/>
    </row>
    <row r="25" spans="1:11" hidden="1" x14ac:dyDescent="0.25">
      <c r="A25" s="50">
        <v>17</v>
      </c>
      <c r="B25" s="78"/>
      <c r="C25" s="57"/>
      <c r="D25" s="91"/>
      <c r="E25" s="76"/>
      <c r="F25" s="76"/>
      <c r="G25" s="93"/>
      <c r="H25" s="96"/>
      <c r="I25" s="91"/>
      <c r="J25" s="97"/>
    </row>
    <row r="26" spans="1:11" x14ac:dyDescent="0.25">
      <c r="A26" s="50"/>
      <c r="B26" s="98" t="s">
        <v>128</v>
      </c>
      <c r="C26" s="55"/>
      <c r="D26" s="99"/>
      <c r="E26" s="63"/>
      <c r="F26" s="63"/>
      <c r="G26" s="63"/>
      <c r="H26" s="63"/>
      <c r="I26" s="100"/>
      <c r="J26" s="87">
        <f>ROUND(J25+J24+J23+J22,2)</f>
        <v>962</v>
      </c>
    </row>
    <row r="27" spans="1:11" x14ac:dyDescent="0.25">
      <c r="A27" s="301" t="s">
        <v>129</v>
      </c>
      <c r="B27" s="302"/>
      <c r="C27" s="302"/>
      <c r="D27" s="302"/>
      <c r="E27" s="302"/>
      <c r="F27" s="302"/>
      <c r="G27" s="302"/>
      <c r="H27" s="302"/>
      <c r="I27" s="302"/>
      <c r="J27" s="303"/>
      <c r="K27" s="101"/>
    </row>
    <row r="28" spans="1:11" s="101" customFormat="1" hidden="1" x14ac:dyDescent="0.2">
      <c r="A28" s="50">
        <v>18</v>
      </c>
      <c r="B28" s="78" t="s">
        <v>130</v>
      </c>
      <c r="C28" s="102" t="s">
        <v>131</v>
      </c>
      <c r="D28" s="89">
        <v>1</v>
      </c>
      <c r="E28" s="84" t="s">
        <v>132</v>
      </c>
      <c r="F28" s="103"/>
      <c r="G28" s="84" t="s">
        <v>99</v>
      </c>
      <c r="H28" s="66">
        <f>H10</f>
        <v>9</v>
      </c>
      <c r="I28" s="66">
        <v>2.5</v>
      </c>
      <c r="J28" s="104"/>
    </row>
    <row r="29" spans="1:11" s="101" customFormat="1" ht="25.5" x14ac:dyDescent="0.2">
      <c r="A29" s="50">
        <v>8</v>
      </c>
      <c r="B29" s="78" t="s">
        <v>133</v>
      </c>
      <c r="C29" s="102" t="s">
        <v>134</v>
      </c>
      <c r="D29" s="89">
        <v>1</v>
      </c>
      <c r="E29" s="84"/>
      <c r="F29" s="103"/>
      <c r="G29" s="84" t="s">
        <v>99</v>
      </c>
      <c r="H29" s="66">
        <f t="shared" ref="H29:H34" si="0">H28</f>
        <v>9</v>
      </c>
      <c r="I29" s="66">
        <v>8.5</v>
      </c>
      <c r="J29" s="61">
        <f>PRODUCT(I29,H29,D29)</f>
        <v>76.5</v>
      </c>
    </row>
    <row r="30" spans="1:11" s="101" customFormat="1" x14ac:dyDescent="0.2">
      <c r="A30" s="50">
        <v>9</v>
      </c>
      <c r="B30" s="78" t="s">
        <v>135</v>
      </c>
      <c r="C30" s="102" t="s">
        <v>136</v>
      </c>
      <c r="D30" s="89">
        <v>1</v>
      </c>
      <c r="E30" s="84"/>
      <c r="F30" s="103"/>
      <c r="G30" s="84" t="s">
        <v>137</v>
      </c>
      <c r="H30" s="66">
        <f t="shared" si="0"/>
        <v>9</v>
      </c>
      <c r="I30" s="66">
        <v>2</v>
      </c>
      <c r="J30" s="61">
        <f>PRODUCT(I30,H30,D30)</f>
        <v>18</v>
      </c>
    </row>
    <row r="31" spans="1:11" s="101" customFormat="1" ht="25.5" hidden="1" x14ac:dyDescent="0.2">
      <c r="A31" s="50">
        <v>21</v>
      </c>
      <c r="B31" s="78" t="s">
        <v>138</v>
      </c>
      <c r="C31" s="102" t="s">
        <v>139</v>
      </c>
      <c r="D31" s="89">
        <v>1</v>
      </c>
      <c r="E31" s="84"/>
      <c r="F31" s="103"/>
      <c r="G31" s="84" t="s">
        <v>99</v>
      </c>
      <c r="H31" s="66">
        <f t="shared" si="0"/>
        <v>9</v>
      </c>
      <c r="I31" s="66">
        <v>52.3</v>
      </c>
      <c r="J31" s="61"/>
    </row>
    <row r="32" spans="1:11" s="101" customFormat="1" ht="25.5" hidden="1" x14ac:dyDescent="0.2">
      <c r="A32" s="50">
        <v>22</v>
      </c>
      <c r="B32" s="78" t="s">
        <v>140</v>
      </c>
      <c r="C32" s="102" t="s">
        <v>141</v>
      </c>
      <c r="D32" s="89">
        <v>1</v>
      </c>
      <c r="E32" s="84"/>
      <c r="F32" s="103"/>
      <c r="G32" s="84" t="s">
        <v>99</v>
      </c>
      <c r="H32" s="66">
        <f t="shared" si="0"/>
        <v>9</v>
      </c>
      <c r="I32" s="66">
        <v>39</v>
      </c>
      <c r="J32" s="61"/>
    </row>
    <row r="33" spans="1:10" s="101" customFormat="1" x14ac:dyDescent="0.2">
      <c r="A33" s="50">
        <v>10</v>
      </c>
      <c r="B33" s="78" t="s">
        <v>142</v>
      </c>
      <c r="C33" s="102" t="s">
        <v>143</v>
      </c>
      <c r="D33" s="89">
        <v>1</v>
      </c>
      <c r="E33" s="84"/>
      <c r="F33" s="103"/>
      <c r="G33" s="84" t="s">
        <v>99</v>
      </c>
      <c r="H33" s="66">
        <f t="shared" si="0"/>
        <v>9</v>
      </c>
      <c r="I33" s="66">
        <v>23</v>
      </c>
      <c r="J33" s="61">
        <f>PRODUCT(I33,H33,D33)</f>
        <v>207</v>
      </c>
    </row>
    <row r="34" spans="1:10" s="101" customFormat="1" x14ac:dyDescent="0.2">
      <c r="A34" s="50">
        <v>11</v>
      </c>
      <c r="B34" s="78" t="s">
        <v>144</v>
      </c>
      <c r="C34" s="102" t="s">
        <v>143</v>
      </c>
      <c r="D34" s="89">
        <v>1</v>
      </c>
      <c r="E34" s="84"/>
      <c r="F34" s="103"/>
      <c r="G34" s="84" t="s">
        <v>99</v>
      </c>
      <c r="H34" s="66">
        <f t="shared" si="0"/>
        <v>9</v>
      </c>
      <c r="I34" s="66">
        <v>23</v>
      </c>
      <c r="J34" s="61">
        <f>PRODUCT(I34,H34,D34)</f>
        <v>207</v>
      </c>
    </row>
    <row r="35" spans="1:10" x14ac:dyDescent="0.25">
      <c r="A35" s="50">
        <v>12</v>
      </c>
      <c r="B35" s="80" t="s">
        <v>145</v>
      </c>
      <c r="C35" s="102" t="s">
        <v>146</v>
      </c>
      <c r="D35" s="89">
        <v>1</v>
      </c>
      <c r="E35" s="63"/>
      <c r="F35" s="63"/>
      <c r="G35" s="84" t="s">
        <v>99</v>
      </c>
      <c r="H35" s="66">
        <f>H28</f>
        <v>9</v>
      </c>
      <c r="I35" s="66">
        <v>19.7</v>
      </c>
      <c r="J35" s="61">
        <f>PRODUCT(I35,H35,D35)</f>
        <v>177.29999999999998</v>
      </c>
    </row>
    <row r="36" spans="1:10" hidden="1" x14ac:dyDescent="0.25">
      <c r="A36" s="50">
        <v>26</v>
      </c>
      <c r="B36" s="80" t="s">
        <v>147</v>
      </c>
      <c r="C36" s="102" t="s">
        <v>148</v>
      </c>
      <c r="D36" s="89">
        <v>1</v>
      </c>
      <c r="E36" s="63"/>
      <c r="F36" s="63"/>
      <c r="G36" s="84" t="s">
        <v>99</v>
      </c>
      <c r="H36" s="66">
        <f>H28</f>
        <v>9</v>
      </c>
      <c r="I36" s="66">
        <v>95.8</v>
      </c>
      <c r="J36" s="61"/>
    </row>
    <row r="37" spans="1:10" ht="11.25" customHeight="1" x14ac:dyDescent="0.25">
      <c r="A37" s="50"/>
      <c r="B37" s="98" t="s">
        <v>149</v>
      </c>
      <c r="C37" s="102"/>
      <c r="D37" s="89"/>
      <c r="E37" s="63"/>
      <c r="F37" s="63"/>
      <c r="G37" s="84"/>
      <c r="H37" s="66"/>
      <c r="I37" s="66"/>
      <c r="J37" s="105">
        <f>J28+J29+J30+J31+J32+J33+J34+J35+J36</f>
        <v>685.8</v>
      </c>
    </row>
    <row r="38" spans="1:10" ht="12.75" hidden="1" customHeight="1" x14ac:dyDescent="0.25">
      <c r="A38" s="310" t="s">
        <v>150</v>
      </c>
      <c r="B38" s="311"/>
      <c r="C38" s="311"/>
      <c r="D38" s="311"/>
      <c r="E38" s="311"/>
      <c r="F38" s="311"/>
      <c r="G38" s="311"/>
      <c r="H38" s="311"/>
      <c r="I38" s="311"/>
      <c r="J38" s="312"/>
    </row>
    <row r="39" spans="1:10" hidden="1" x14ac:dyDescent="0.25">
      <c r="A39" s="106">
        <v>27</v>
      </c>
      <c r="B39" s="107" t="s">
        <v>151</v>
      </c>
      <c r="C39" s="108" t="s">
        <v>152</v>
      </c>
      <c r="D39" s="109"/>
      <c r="E39" s="109"/>
      <c r="F39" s="110"/>
      <c r="G39" s="109" t="s">
        <v>99</v>
      </c>
      <c r="H39" s="111">
        <v>0</v>
      </c>
      <c r="I39" s="112">
        <v>67.3</v>
      </c>
      <c r="J39" s="113">
        <f>H39*I39</f>
        <v>0</v>
      </c>
    </row>
    <row r="40" spans="1:10" ht="25.5" hidden="1" x14ac:dyDescent="0.25">
      <c r="A40" s="106">
        <v>28</v>
      </c>
      <c r="B40" s="107" t="s">
        <v>153</v>
      </c>
      <c r="C40" s="108" t="s">
        <v>154</v>
      </c>
      <c r="D40" s="109"/>
      <c r="E40" s="109"/>
      <c r="F40" s="110"/>
      <c r="G40" s="109" t="s">
        <v>99</v>
      </c>
      <c r="H40" s="111">
        <v>0</v>
      </c>
      <c r="I40" s="112">
        <v>256.89999999999998</v>
      </c>
      <c r="J40" s="113">
        <f>I40*H40</f>
        <v>0</v>
      </c>
    </row>
    <row r="41" spans="1:10" ht="25.5" hidden="1" x14ac:dyDescent="0.25">
      <c r="A41" s="106">
        <v>29</v>
      </c>
      <c r="B41" s="107" t="s">
        <v>155</v>
      </c>
      <c r="C41" s="108" t="s">
        <v>156</v>
      </c>
      <c r="D41" s="109"/>
      <c r="E41" s="109"/>
      <c r="F41" s="110"/>
      <c r="G41" s="109" t="s">
        <v>99</v>
      </c>
      <c r="H41" s="111">
        <v>0</v>
      </c>
      <c r="I41" s="112">
        <v>98.9</v>
      </c>
      <c r="J41" s="113">
        <f>I41*H41</f>
        <v>0</v>
      </c>
    </row>
    <row r="42" spans="1:10" hidden="1" x14ac:dyDescent="0.25">
      <c r="A42" s="106">
        <v>30</v>
      </c>
      <c r="B42" s="107" t="s">
        <v>157</v>
      </c>
      <c r="C42" s="108" t="s">
        <v>152</v>
      </c>
      <c r="D42" s="109"/>
      <c r="E42" s="109"/>
      <c r="F42" s="110"/>
      <c r="G42" s="109" t="s">
        <v>99</v>
      </c>
      <c r="H42" s="111">
        <v>0</v>
      </c>
      <c r="I42" s="112">
        <v>45.7</v>
      </c>
      <c r="J42" s="113">
        <f>I42*H42</f>
        <v>0</v>
      </c>
    </row>
    <row r="43" spans="1:10" hidden="1" x14ac:dyDescent="0.25">
      <c r="A43" s="106">
        <v>31</v>
      </c>
      <c r="B43" s="107" t="s">
        <v>158</v>
      </c>
      <c r="C43" s="108" t="s">
        <v>159</v>
      </c>
      <c r="D43" s="109"/>
      <c r="E43" s="109"/>
      <c r="F43" s="110"/>
      <c r="G43" s="109" t="s">
        <v>99</v>
      </c>
      <c r="H43" s="111">
        <v>0</v>
      </c>
      <c r="I43" s="112">
        <v>96.2</v>
      </c>
      <c r="J43" s="113">
        <f>I43*H43</f>
        <v>0</v>
      </c>
    </row>
    <row r="44" spans="1:10" hidden="1" x14ac:dyDescent="0.25">
      <c r="A44" s="106">
        <v>32</v>
      </c>
      <c r="B44" s="114" t="s">
        <v>160</v>
      </c>
      <c r="C44" s="106"/>
      <c r="D44" s="109"/>
      <c r="E44" s="109"/>
      <c r="F44" s="110"/>
      <c r="G44" s="109"/>
      <c r="H44" s="111"/>
      <c r="I44" s="112"/>
      <c r="J44" s="113">
        <f>J39+J40+J41+J42+J43</f>
        <v>0</v>
      </c>
    </row>
    <row r="45" spans="1:10" hidden="1" x14ac:dyDescent="0.25">
      <c r="A45" s="50">
        <v>33</v>
      </c>
      <c r="B45" s="83" t="s">
        <v>161</v>
      </c>
      <c r="C45" s="50"/>
      <c r="D45" s="55"/>
      <c r="E45" s="55"/>
      <c r="F45" s="85"/>
      <c r="G45" s="55"/>
      <c r="H45" s="66"/>
      <c r="I45" s="58"/>
      <c r="J45" s="115">
        <f>J44+J37+J26</f>
        <v>1647.8</v>
      </c>
    </row>
    <row r="46" spans="1:10" ht="24" customHeight="1" x14ac:dyDescent="0.25">
      <c r="A46" s="116"/>
      <c r="B46" s="117" t="s">
        <v>162</v>
      </c>
      <c r="C46" s="88" t="s">
        <v>119</v>
      </c>
      <c r="D46" s="118">
        <v>61.09</v>
      </c>
      <c r="E46" s="71"/>
      <c r="F46" s="119"/>
      <c r="G46" s="71"/>
      <c r="H46" s="73"/>
      <c r="I46" s="70"/>
      <c r="J46" s="120">
        <f>ROUND((J44+J37+J26)*D46,2)</f>
        <v>100664.1</v>
      </c>
    </row>
    <row r="47" spans="1:10" ht="12.75" customHeight="1" x14ac:dyDescent="0.25">
      <c r="A47" s="313" t="s">
        <v>163</v>
      </c>
      <c r="B47" s="314"/>
      <c r="C47" s="314"/>
      <c r="D47" s="314"/>
      <c r="E47" s="314"/>
      <c r="F47" s="314"/>
      <c r="G47" s="314"/>
      <c r="H47" s="314"/>
      <c r="I47" s="314"/>
      <c r="J47" s="315"/>
    </row>
    <row r="48" spans="1:10" ht="30" x14ac:dyDescent="0.25">
      <c r="A48" s="116">
        <v>13</v>
      </c>
      <c r="B48" s="56" t="s">
        <v>164</v>
      </c>
      <c r="C48" s="88" t="s">
        <v>165</v>
      </c>
      <c r="D48" s="121">
        <v>0.12</v>
      </c>
      <c r="E48" s="71"/>
      <c r="F48" s="119"/>
      <c r="G48" s="71"/>
      <c r="H48" s="71"/>
      <c r="I48" s="70"/>
      <c r="J48" s="120">
        <f>D48*J37</f>
        <v>82.295999999999992</v>
      </c>
    </row>
    <row r="49" spans="1:10" ht="30" hidden="1" x14ac:dyDescent="0.25">
      <c r="A49" s="116">
        <v>36</v>
      </c>
      <c r="B49" s="56" t="s">
        <v>166</v>
      </c>
      <c r="C49" s="88" t="s">
        <v>167</v>
      </c>
      <c r="D49" s="71">
        <v>0.15</v>
      </c>
      <c r="E49" s="71"/>
      <c r="F49" s="119"/>
      <c r="G49" s="71"/>
      <c r="H49" s="71"/>
      <c r="I49" s="70"/>
      <c r="J49" s="120">
        <f>D49*J44</f>
        <v>0</v>
      </c>
    </row>
    <row r="50" spans="1:10" x14ac:dyDescent="0.25">
      <c r="A50" s="116"/>
      <c r="B50" s="117" t="s">
        <v>168</v>
      </c>
      <c r="C50" s="122"/>
      <c r="D50" s="72"/>
      <c r="E50" s="72"/>
      <c r="F50" s="123"/>
      <c r="G50" s="72"/>
      <c r="H50" s="72"/>
      <c r="I50" s="124"/>
      <c r="J50" s="90">
        <f>J49+J48</f>
        <v>82.295999999999992</v>
      </c>
    </row>
    <row r="51" spans="1:10" ht="22.5" x14ac:dyDescent="0.25">
      <c r="A51" s="116"/>
      <c r="B51" s="117" t="s">
        <v>162</v>
      </c>
      <c r="C51" s="88" t="s">
        <v>169</v>
      </c>
      <c r="D51" s="121">
        <v>56.4</v>
      </c>
      <c r="E51" s="72"/>
      <c r="F51" s="123"/>
      <c r="G51" s="72"/>
      <c r="H51" s="72"/>
      <c r="I51" s="124"/>
      <c r="J51" s="90">
        <f>ROUND(J50*D51,2)</f>
        <v>4641.49</v>
      </c>
    </row>
    <row r="52" spans="1:10" ht="12.75" customHeight="1" x14ac:dyDescent="0.25">
      <c r="A52" s="313" t="s">
        <v>170</v>
      </c>
      <c r="B52" s="314"/>
      <c r="C52" s="314"/>
      <c r="D52" s="314"/>
      <c r="E52" s="314"/>
      <c r="F52" s="314"/>
      <c r="G52" s="314"/>
      <c r="H52" s="314"/>
      <c r="I52" s="314"/>
      <c r="J52" s="315"/>
    </row>
    <row r="53" spans="1:10" x14ac:dyDescent="0.25">
      <c r="A53" s="116">
        <v>14</v>
      </c>
      <c r="B53" s="95" t="s">
        <v>171</v>
      </c>
      <c r="C53" s="88" t="s">
        <v>172</v>
      </c>
      <c r="D53" s="125">
        <v>0.21</v>
      </c>
      <c r="E53" s="71"/>
      <c r="F53" s="119"/>
      <c r="G53" s="71"/>
      <c r="H53" s="72"/>
      <c r="I53" s="70"/>
      <c r="J53" s="90">
        <f>D53*J50</f>
        <v>17.282159999999998</v>
      </c>
    </row>
    <row r="54" spans="1:10" ht="22.5" x14ac:dyDescent="0.25">
      <c r="A54" s="116"/>
      <c r="B54" s="95" t="s">
        <v>162</v>
      </c>
      <c r="C54" s="88" t="s">
        <v>178</v>
      </c>
      <c r="D54" s="118">
        <v>61.09</v>
      </c>
      <c r="E54" s="71"/>
      <c r="F54" s="119"/>
      <c r="G54" s="71"/>
      <c r="H54" s="72"/>
      <c r="I54" s="70"/>
      <c r="J54" s="90">
        <f>ROUND(J53*D54,2)</f>
        <v>1055.77</v>
      </c>
    </row>
    <row r="55" spans="1:10" s="101" customFormat="1" x14ac:dyDescent="0.25">
      <c r="A55" s="116"/>
      <c r="B55" s="95"/>
      <c r="C55" s="316" t="s">
        <v>173</v>
      </c>
      <c r="D55" s="317"/>
      <c r="E55" s="317"/>
      <c r="F55" s="317"/>
      <c r="G55" s="317"/>
      <c r="H55" s="317"/>
      <c r="I55" s="318"/>
      <c r="J55" s="126">
        <f>J46+J51+J54+J19</f>
        <v>297744.07</v>
      </c>
    </row>
    <row r="56" spans="1:10" ht="18" x14ac:dyDescent="0.25">
      <c r="A56" s="127"/>
      <c r="B56" s="128"/>
      <c r="C56" s="308" t="s">
        <v>174</v>
      </c>
      <c r="D56" s="309"/>
      <c r="E56" s="309"/>
      <c r="F56" s="309"/>
      <c r="G56" s="309"/>
      <c r="H56" s="309"/>
      <c r="I56" s="309"/>
      <c r="J56" s="129">
        <f>J55*1.2</f>
        <v>357292.88400000002</v>
      </c>
    </row>
    <row r="57" spans="1:10" ht="18" x14ac:dyDescent="0.25">
      <c r="B57" s="131" t="s">
        <v>175</v>
      </c>
      <c r="C57" s="132"/>
      <c r="D57" s="133"/>
      <c r="E57" s="133"/>
      <c r="F57" s="133"/>
      <c r="G57" s="133"/>
      <c r="H57" s="133"/>
      <c r="I57" s="133"/>
      <c r="J57" s="134"/>
    </row>
    <row r="58" spans="1:10" ht="21.75" hidden="1" customHeight="1" x14ac:dyDescent="0.25">
      <c r="B58" t="s">
        <v>176</v>
      </c>
    </row>
  </sheetData>
  <mergeCells count="13">
    <mergeCell ref="C56:I56"/>
    <mergeCell ref="A21:J21"/>
    <mergeCell ref="A27:J27"/>
    <mergeCell ref="A38:J38"/>
    <mergeCell ref="A47:J47"/>
    <mergeCell ref="A52:J52"/>
    <mergeCell ref="C55:I55"/>
    <mergeCell ref="A20:J20"/>
    <mergeCell ref="A1:J1"/>
    <mergeCell ref="A2:J2"/>
    <mergeCell ref="A3:J3"/>
    <mergeCell ref="A4:J4"/>
    <mergeCell ref="A14:B14"/>
  </mergeCells>
  <pageMargins left="0.7" right="0.7" top="0.75" bottom="0.75" header="0.3" footer="0.3"/>
  <pageSetup paperSize="9" scale="70" orientation="landscape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60" zoomScaleNormal="100" workbookViewId="0">
      <selection activeCell="H4" sqref="H4"/>
    </sheetView>
  </sheetViews>
  <sheetFormatPr defaultColWidth="30.140625" defaultRowHeight="15" x14ac:dyDescent="0.25"/>
  <cols>
    <col min="1" max="1" width="4.140625" style="137" customWidth="1"/>
    <col min="2" max="2" width="53.140625" style="137" customWidth="1"/>
    <col min="3" max="3" width="18.5703125" style="137" customWidth="1"/>
    <col min="4" max="4" width="27" style="137" customWidth="1"/>
    <col min="5" max="5" width="11.42578125" style="137" customWidth="1"/>
    <col min="6" max="16384" width="30.140625" style="137"/>
  </cols>
  <sheetData>
    <row r="1" spans="1:10" x14ac:dyDescent="0.25">
      <c r="A1" s="325" t="s">
        <v>296</v>
      </c>
      <c r="B1" s="325"/>
      <c r="C1" s="325"/>
      <c r="D1" s="325"/>
      <c r="E1" s="325"/>
    </row>
    <row r="2" spans="1:10" ht="99" customHeight="1" x14ac:dyDescent="0.25">
      <c r="A2" s="298" t="s">
        <v>330</v>
      </c>
      <c r="B2" s="298"/>
      <c r="C2" s="298"/>
      <c r="D2" s="298"/>
      <c r="E2" s="298"/>
      <c r="F2" s="272"/>
      <c r="G2" s="272"/>
      <c r="H2" s="272"/>
      <c r="I2" s="272"/>
      <c r="J2" s="272"/>
    </row>
    <row r="3" spans="1:10" x14ac:dyDescent="0.25">
      <c r="A3" s="326" t="s">
        <v>287</v>
      </c>
      <c r="B3" s="326"/>
      <c r="C3" s="326"/>
      <c r="D3" s="326"/>
      <c r="E3" s="326"/>
    </row>
    <row r="4" spans="1:10" ht="153.75" customHeight="1" x14ac:dyDescent="0.25">
      <c r="A4" s="138" t="s">
        <v>51</v>
      </c>
      <c r="B4" s="139" t="s">
        <v>1</v>
      </c>
      <c r="C4" s="140" t="s">
        <v>2</v>
      </c>
      <c r="D4" s="141" t="s">
        <v>3</v>
      </c>
      <c r="E4" s="139" t="s">
        <v>52</v>
      </c>
    </row>
    <row r="5" spans="1:10" ht="64.5" x14ac:dyDescent="0.25">
      <c r="A5" s="142">
        <v>1</v>
      </c>
      <c r="B5" s="143" t="s">
        <v>209</v>
      </c>
      <c r="C5" s="144" t="s">
        <v>179</v>
      </c>
      <c r="D5" s="145" t="s">
        <v>239</v>
      </c>
      <c r="E5" s="145">
        <f>8.4*525*1.3</f>
        <v>5733</v>
      </c>
    </row>
    <row r="6" spans="1:10" ht="31.5" x14ac:dyDescent="0.25">
      <c r="A6" s="142">
        <v>2</v>
      </c>
      <c r="B6" s="143" t="s">
        <v>180</v>
      </c>
      <c r="C6" s="144" t="s">
        <v>181</v>
      </c>
      <c r="D6" s="145" t="s">
        <v>240</v>
      </c>
      <c r="E6" s="145">
        <f>1.6*35*1.3</f>
        <v>72.8</v>
      </c>
    </row>
    <row r="7" spans="1:10" ht="31.5" x14ac:dyDescent="0.25">
      <c r="A7" s="146">
        <v>3</v>
      </c>
      <c r="B7" s="147" t="s">
        <v>182</v>
      </c>
      <c r="C7" s="148" t="s">
        <v>183</v>
      </c>
      <c r="D7" s="149" t="s">
        <v>241</v>
      </c>
      <c r="E7" s="149">
        <f>22.9*35*1.3</f>
        <v>1041.95</v>
      </c>
    </row>
    <row r="8" spans="1:10" ht="15.75" x14ac:dyDescent="0.25">
      <c r="A8" s="150">
        <v>4</v>
      </c>
      <c r="B8" s="151" t="s">
        <v>184</v>
      </c>
      <c r="C8" s="144" t="s">
        <v>185</v>
      </c>
      <c r="D8" s="159" t="s">
        <v>242</v>
      </c>
      <c r="E8" s="152">
        <f>7.6*35*1.3</f>
        <v>345.8</v>
      </c>
    </row>
    <row r="9" spans="1:10" ht="15.75" x14ac:dyDescent="0.25">
      <c r="A9" s="153">
        <v>5</v>
      </c>
      <c r="B9" s="154" t="s">
        <v>186</v>
      </c>
      <c r="C9" s="155" t="s">
        <v>187</v>
      </c>
      <c r="D9" s="145" t="s">
        <v>243</v>
      </c>
      <c r="E9" s="145">
        <f>(E5+E7+E8+E6)*8.75%</f>
        <v>629.43562499999996</v>
      </c>
    </row>
    <row r="10" spans="1:10" ht="15.75" x14ac:dyDescent="0.25">
      <c r="A10" s="153">
        <v>6</v>
      </c>
      <c r="B10" s="156" t="s">
        <v>188</v>
      </c>
      <c r="C10" s="155" t="s">
        <v>189</v>
      </c>
      <c r="D10" s="145" t="s">
        <v>244</v>
      </c>
      <c r="E10" s="157">
        <f>(E5+E7+E9+E8+E6)*14%</f>
        <v>1095.2179875000002</v>
      </c>
      <c r="H10" s="239"/>
    </row>
    <row r="11" spans="1:10" x14ac:dyDescent="0.25">
      <c r="A11" s="153">
        <v>7</v>
      </c>
      <c r="B11" s="319" t="s">
        <v>190</v>
      </c>
      <c r="C11" s="155" t="s">
        <v>187</v>
      </c>
      <c r="D11" s="321" t="s">
        <v>245</v>
      </c>
      <c r="E11" s="323">
        <f>(E5+E7+E8+E9+E6)*6%*2.5</f>
        <v>1173.4478437499999</v>
      </c>
    </row>
    <row r="12" spans="1:10" x14ac:dyDescent="0.25">
      <c r="A12" s="150"/>
      <c r="B12" s="320"/>
      <c r="C12" s="158" t="s">
        <v>191</v>
      </c>
      <c r="D12" s="322"/>
      <c r="E12" s="324"/>
    </row>
    <row r="13" spans="1:10" ht="31.5" x14ac:dyDescent="0.25">
      <c r="A13" s="146">
        <v>8</v>
      </c>
      <c r="B13" s="147" t="s">
        <v>192</v>
      </c>
      <c r="C13" s="148" t="s">
        <v>193</v>
      </c>
      <c r="D13" s="149" t="s">
        <v>246</v>
      </c>
      <c r="E13" s="149">
        <f>9.7*35</f>
        <v>339.5</v>
      </c>
    </row>
    <row r="14" spans="1:10" ht="31.5" x14ac:dyDescent="0.25">
      <c r="A14" s="153">
        <v>9</v>
      </c>
      <c r="B14" s="156" t="s">
        <v>194</v>
      </c>
      <c r="C14" s="155" t="s">
        <v>195</v>
      </c>
      <c r="D14" s="145" t="s">
        <v>247</v>
      </c>
      <c r="E14" s="145">
        <f>45.5*35</f>
        <v>1592.5</v>
      </c>
    </row>
    <row r="15" spans="1:10" s="162" customFormat="1" ht="15.75" x14ac:dyDescent="0.25">
      <c r="A15" s="150"/>
      <c r="B15" s="151"/>
      <c r="C15" s="161"/>
      <c r="D15" s="145"/>
      <c r="E15" s="145"/>
    </row>
    <row r="16" spans="1:10" s="162" customFormat="1" ht="15.75" x14ac:dyDescent="0.25">
      <c r="A16" s="150">
        <v>10</v>
      </c>
      <c r="B16" s="151" t="s">
        <v>196</v>
      </c>
      <c r="C16" s="161" t="s">
        <v>197</v>
      </c>
      <c r="D16" s="145" t="s">
        <v>248</v>
      </c>
      <c r="E16" s="145">
        <f>67.3*35</f>
        <v>2355.5</v>
      </c>
    </row>
    <row r="17" spans="1:5" ht="31.5" x14ac:dyDescent="0.25">
      <c r="A17" s="146">
        <v>11</v>
      </c>
      <c r="B17" s="147" t="s">
        <v>198</v>
      </c>
      <c r="C17" s="163" t="s">
        <v>199</v>
      </c>
      <c r="D17" s="149" t="s">
        <v>249</v>
      </c>
      <c r="E17" s="149">
        <f>18.2*35</f>
        <v>637</v>
      </c>
    </row>
    <row r="18" spans="1:5" ht="31.5" x14ac:dyDescent="0.25">
      <c r="A18" s="146">
        <v>12</v>
      </c>
      <c r="B18" s="147" t="s">
        <v>200</v>
      </c>
      <c r="C18" s="163" t="s">
        <v>201</v>
      </c>
      <c r="D18" s="160" t="s">
        <v>250</v>
      </c>
      <c r="E18" s="149">
        <f>E13*20%</f>
        <v>67.900000000000006</v>
      </c>
    </row>
    <row r="19" spans="1:5" ht="31.5" x14ac:dyDescent="0.25">
      <c r="A19" s="146">
        <v>13</v>
      </c>
      <c r="B19" s="147" t="s">
        <v>202</v>
      </c>
      <c r="C19" s="163" t="s">
        <v>203</v>
      </c>
      <c r="D19" s="164" t="s">
        <v>251</v>
      </c>
      <c r="E19" s="149">
        <f>(E14+E15)*15%</f>
        <v>238.875</v>
      </c>
    </row>
    <row r="20" spans="1:5" ht="31.5" x14ac:dyDescent="0.25">
      <c r="A20" s="146">
        <v>14</v>
      </c>
      <c r="B20" s="147" t="s">
        <v>204</v>
      </c>
      <c r="C20" s="163" t="s">
        <v>205</v>
      </c>
      <c r="D20" s="164" t="s">
        <v>252</v>
      </c>
      <c r="E20" s="149">
        <f>E16*15%</f>
        <v>353.32499999999999</v>
      </c>
    </row>
    <row r="21" spans="1:5" ht="15.75" x14ac:dyDescent="0.25">
      <c r="A21" s="165">
        <v>15</v>
      </c>
      <c r="B21" s="147" t="s">
        <v>206</v>
      </c>
      <c r="C21" s="148" t="s">
        <v>207</v>
      </c>
      <c r="D21" s="149" t="s">
        <v>253</v>
      </c>
      <c r="E21" s="166">
        <f>12%*(E18+E19+E20)</f>
        <v>79.211999999999989</v>
      </c>
    </row>
    <row r="22" spans="1:5" ht="15.75" x14ac:dyDescent="0.25">
      <c r="A22" s="165"/>
      <c r="B22" s="147" t="s">
        <v>208</v>
      </c>
      <c r="C22" s="155"/>
      <c r="D22" s="167"/>
      <c r="E22" s="167">
        <f>SUM(E5:E21)</f>
        <v>15755.463456250001</v>
      </c>
    </row>
    <row r="23" spans="1:5" ht="38.25" x14ac:dyDescent="0.25">
      <c r="A23" s="165"/>
      <c r="B23" s="169" t="s">
        <v>74</v>
      </c>
      <c r="C23" s="170" t="s">
        <v>256</v>
      </c>
      <c r="D23" s="149" t="s">
        <v>255</v>
      </c>
      <c r="E23" s="149">
        <f>E22*61.09</f>
        <v>962501.26254231262</v>
      </c>
    </row>
    <row r="24" spans="1:5" x14ac:dyDescent="0.25">
      <c r="D24" s="137" t="s">
        <v>75</v>
      </c>
      <c r="E24" s="168">
        <f>E23*18%</f>
        <v>173250.22725761626</v>
      </c>
    </row>
    <row r="25" spans="1:5" x14ac:dyDescent="0.25">
      <c r="D25" s="137" t="s">
        <v>76</v>
      </c>
      <c r="E25" s="171">
        <f>E24+E23</f>
        <v>1135751.4897999289</v>
      </c>
    </row>
    <row r="27" spans="1:5" x14ac:dyDescent="0.25">
      <c r="C27" s="172"/>
    </row>
    <row r="28" spans="1:5" x14ac:dyDescent="0.25">
      <c r="C28" s="172"/>
    </row>
    <row r="29" spans="1:5" x14ac:dyDescent="0.25">
      <c r="C29" s="172"/>
    </row>
    <row r="30" spans="1:5" x14ac:dyDescent="0.25">
      <c r="C30" s="172"/>
      <c r="E30" s="137" t="s">
        <v>78</v>
      </c>
    </row>
    <row r="31" spans="1:5" x14ac:dyDescent="0.25">
      <c r="C31" s="172"/>
    </row>
    <row r="32" spans="1:5" x14ac:dyDescent="0.25">
      <c r="C32" s="172"/>
    </row>
    <row r="33" spans="3:3" x14ac:dyDescent="0.25">
      <c r="C33" s="172"/>
    </row>
    <row r="34" spans="3:3" x14ac:dyDescent="0.25">
      <c r="C34" s="172"/>
    </row>
    <row r="35" spans="3:3" x14ac:dyDescent="0.25">
      <c r="C35" s="172"/>
    </row>
    <row r="36" spans="3:3" x14ac:dyDescent="0.25">
      <c r="C36" s="172"/>
    </row>
  </sheetData>
  <mergeCells count="6">
    <mergeCell ref="B11:B12"/>
    <mergeCell ref="D11:D12"/>
    <mergeCell ref="E11:E12"/>
    <mergeCell ref="A1:E1"/>
    <mergeCell ref="A2:E2"/>
    <mergeCell ref="A3:E3"/>
  </mergeCell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="60" zoomScaleNormal="100" workbookViewId="0">
      <selection activeCell="H12" sqref="H12"/>
    </sheetView>
  </sheetViews>
  <sheetFormatPr defaultColWidth="30.140625" defaultRowHeight="15" x14ac:dyDescent="0.25"/>
  <cols>
    <col min="1" max="1" width="5.28515625" customWidth="1"/>
    <col min="2" max="2" width="41.85546875" customWidth="1"/>
    <col min="3" max="3" width="36" customWidth="1"/>
    <col min="4" max="4" width="27" customWidth="1"/>
    <col min="5" max="5" width="17.140625" customWidth="1"/>
    <col min="6" max="6" width="20.5703125" customWidth="1"/>
  </cols>
  <sheetData>
    <row r="1" spans="1:8" x14ac:dyDescent="0.25">
      <c r="A1" s="327" t="s">
        <v>297</v>
      </c>
      <c r="B1" s="327"/>
      <c r="C1" s="327"/>
      <c r="D1" s="327"/>
      <c r="E1" s="327"/>
      <c r="F1" s="327"/>
    </row>
    <row r="2" spans="1:8" ht="75.75" customHeight="1" x14ac:dyDescent="0.25">
      <c r="A2" s="298" t="s">
        <v>331</v>
      </c>
      <c r="B2" s="298"/>
      <c r="C2" s="298"/>
      <c r="D2" s="298"/>
      <c r="E2" s="298"/>
      <c r="F2" s="298"/>
    </row>
    <row r="3" spans="1:8" ht="15.75" thickBot="1" x14ac:dyDescent="0.3">
      <c r="A3" s="328" t="s">
        <v>288</v>
      </c>
      <c r="B3" s="328"/>
      <c r="C3" s="328"/>
      <c r="D3" s="328"/>
      <c r="E3" s="328"/>
      <c r="F3" s="328"/>
    </row>
    <row r="4" spans="1:8" ht="64.5" customHeight="1" thickBot="1" x14ac:dyDescent="0.3">
      <c r="A4" s="173" t="s">
        <v>51</v>
      </c>
      <c r="B4" s="174" t="s">
        <v>1</v>
      </c>
      <c r="C4" s="175" t="s">
        <v>2</v>
      </c>
      <c r="D4" s="176" t="s">
        <v>3</v>
      </c>
      <c r="E4" s="177" t="s">
        <v>52</v>
      </c>
      <c r="F4" s="176" t="s">
        <v>211</v>
      </c>
    </row>
    <row r="5" spans="1:8" ht="39" customHeight="1" x14ac:dyDescent="0.25">
      <c r="A5" s="178" t="s">
        <v>212</v>
      </c>
      <c r="B5" s="329" t="s">
        <v>213</v>
      </c>
      <c r="C5" s="179" t="s">
        <v>214</v>
      </c>
      <c r="D5" s="180"/>
      <c r="E5" s="181"/>
      <c r="F5" s="331"/>
    </row>
    <row r="6" spans="1:8" ht="15" customHeight="1" x14ac:dyDescent="0.25">
      <c r="A6" s="182"/>
      <c r="B6" s="330"/>
      <c r="C6" s="183"/>
      <c r="D6" s="184"/>
      <c r="E6" s="185"/>
      <c r="F6" s="332"/>
    </row>
    <row r="7" spans="1:8" ht="15.75" x14ac:dyDescent="0.25">
      <c r="A7" s="182"/>
      <c r="B7" s="143" t="s">
        <v>326</v>
      </c>
      <c r="C7" s="183" t="s">
        <v>227</v>
      </c>
      <c r="D7" s="184"/>
      <c r="E7" s="186"/>
      <c r="F7" s="332"/>
      <c r="H7" s="3"/>
    </row>
    <row r="8" spans="1:8" ht="15.75" x14ac:dyDescent="0.25">
      <c r="A8" s="182"/>
      <c r="B8" s="143" t="s">
        <v>215</v>
      </c>
      <c r="C8" s="183"/>
      <c r="D8" s="186" t="s">
        <v>232</v>
      </c>
      <c r="E8" s="186">
        <f>2043*10.8*1.3</f>
        <v>28683.72</v>
      </c>
      <c r="F8" s="332"/>
    </row>
    <row r="9" spans="1:8" ht="15.75" x14ac:dyDescent="0.25">
      <c r="A9" s="187"/>
      <c r="B9" s="188" t="s">
        <v>216</v>
      </c>
      <c r="C9" s="183"/>
      <c r="D9" s="186" t="s">
        <v>233</v>
      </c>
      <c r="E9" s="186">
        <f>620*10.8*1.2</f>
        <v>8035.2</v>
      </c>
      <c r="F9" s="333"/>
    </row>
    <row r="10" spans="1:8" ht="15.75" x14ac:dyDescent="0.25">
      <c r="A10" s="182" t="s">
        <v>217</v>
      </c>
      <c r="B10" s="334" t="s">
        <v>186</v>
      </c>
      <c r="C10" s="189" t="s">
        <v>218</v>
      </c>
      <c r="D10" s="290" t="s">
        <v>322</v>
      </c>
      <c r="E10" s="190">
        <f>E8*8.75%</f>
        <v>2509.8254999999999</v>
      </c>
      <c r="F10" s="293"/>
      <c r="G10" s="191"/>
    </row>
    <row r="11" spans="1:8" ht="15.75" x14ac:dyDescent="0.25">
      <c r="A11" s="182"/>
      <c r="B11" s="335"/>
      <c r="C11" s="183"/>
      <c r="D11" s="291"/>
      <c r="E11" s="292"/>
      <c r="F11" s="289"/>
      <c r="G11" s="191"/>
    </row>
    <row r="12" spans="1:8" ht="15.75" x14ac:dyDescent="0.25">
      <c r="A12" s="192" t="s">
        <v>219</v>
      </c>
      <c r="B12" s="287" t="s">
        <v>220</v>
      </c>
      <c r="C12" s="189" t="s">
        <v>221</v>
      </c>
      <c r="D12" s="290" t="s">
        <v>323</v>
      </c>
      <c r="E12" s="190">
        <f>(E8+E10)*14%</f>
        <v>4367.0963700000002</v>
      </c>
      <c r="F12" s="288"/>
    </row>
    <row r="13" spans="1:8" ht="15.75" x14ac:dyDescent="0.25">
      <c r="A13" s="187" t="s">
        <v>222</v>
      </c>
      <c r="B13" s="188"/>
      <c r="C13" s="193"/>
      <c r="D13" s="194"/>
      <c r="E13" s="195"/>
      <c r="F13" s="289"/>
      <c r="G13" s="191"/>
    </row>
    <row r="14" spans="1:8" ht="15" customHeight="1" x14ac:dyDescent="0.25">
      <c r="A14" s="192" t="s">
        <v>223</v>
      </c>
      <c r="B14" s="319" t="s">
        <v>190</v>
      </c>
      <c r="C14" s="189" t="s">
        <v>187</v>
      </c>
      <c r="D14" s="336" t="s">
        <v>324</v>
      </c>
      <c r="E14" s="338">
        <f>(E8+E10)*6%*2</f>
        <v>3743.2254599999997</v>
      </c>
      <c r="F14" s="340"/>
      <c r="G14" s="3"/>
    </row>
    <row r="15" spans="1:8" ht="15" customHeight="1" x14ac:dyDescent="0.25">
      <c r="A15" s="182"/>
      <c r="B15" s="320"/>
      <c r="C15" s="183" t="s">
        <v>224</v>
      </c>
      <c r="D15" s="337"/>
      <c r="E15" s="339"/>
      <c r="F15" s="332"/>
      <c r="G15" s="3"/>
    </row>
    <row r="16" spans="1:8" ht="15.75" x14ac:dyDescent="0.25">
      <c r="A16" s="196"/>
      <c r="B16" s="147" t="s">
        <v>225</v>
      </c>
      <c r="C16" s="189"/>
      <c r="D16" s="197"/>
      <c r="E16" s="198">
        <f>SUM(E5:E15)</f>
        <v>47339.067329999998</v>
      </c>
      <c r="F16" s="199"/>
      <c r="G16" s="200"/>
    </row>
    <row r="17" spans="1:7" ht="18.75" x14ac:dyDescent="0.3">
      <c r="A17" s="196"/>
      <c r="B17" s="201" t="s">
        <v>74</v>
      </c>
      <c r="C17" s="202" t="s">
        <v>257</v>
      </c>
      <c r="D17" s="203" t="s">
        <v>325</v>
      </c>
      <c r="E17" s="204">
        <f>E16*5.36</f>
        <v>253737.40088880001</v>
      </c>
      <c r="F17" s="199"/>
      <c r="G17" s="205"/>
    </row>
    <row r="18" spans="1:7" s="3" customFormat="1" ht="18.75" x14ac:dyDescent="0.25">
      <c r="A18" s="196"/>
      <c r="B18" s="206" t="s">
        <v>75</v>
      </c>
      <c r="C18" s="207"/>
      <c r="D18" s="197"/>
      <c r="E18" s="197">
        <f>E17*20%</f>
        <v>50747.480177760008</v>
      </c>
      <c r="F18" s="199"/>
      <c r="G18" s="205"/>
    </row>
    <row r="19" spans="1:7" s="3" customFormat="1" ht="19.5" thickBot="1" x14ac:dyDescent="0.3">
      <c r="A19" s="208"/>
      <c r="B19" s="209" t="s">
        <v>226</v>
      </c>
      <c r="C19" s="210"/>
      <c r="D19" s="211"/>
      <c r="E19" s="212">
        <f>E18+E17</f>
        <v>304484.88106656005</v>
      </c>
      <c r="F19" s="213"/>
      <c r="G19" s="205"/>
    </row>
    <row r="20" spans="1:7" x14ac:dyDescent="0.25">
      <c r="E20" s="200"/>
      <c r="G20" s="12"/>
    </row>
    <row r="21" spans="1:7" x14ac:dyDescent="0.25">
      <c r="G21" s="12"/>
    </row>
    <row r="22" spans="1:7" x14ac:dyDescent="0.25">
      <c r="E22" s="12"/>
      <c r="G22" s="12"/>
    </row>
    <row r="23" spans="1:7" x14ac:dyDescent="0.25">
      <c r="C23" s="12"/>
      <c r="E23" s="3"/>
    </row>
    <row r="24" spans="1:7" x14ac:dyDescent="0.25">
      <c r="C24" s="12"/>
    </row>
    <row r="25" spans="1:7" x14ac:dyDescent="0.25">
      <c r="C25" s="12"/>
    </row>
    <row r="26" spans="1:7" x14ac:dyDescent="0.25">
      <c r="C26" s="12"/>
    </row>
    <row r="27" spans="1:7" x14ac:dyDescent="0.25">
      <c r="C27" s="12"/>
      <c r="E27" t="s">
        <v>78</v>
      </c>
    </row>
    <row r="28" spans="1:7" x14ac:dyDescent="0.25">
      <c r="C28" s="12"/>
    </row>
    <row r="29" spans="1:7" x14ac:dyDescent="0.25">
      <c r="C29" s="12"/>
    </row>
    <row r="30" spans="1:7" x14ac:dyDescent="0.25">
      <c r="C30" s="12"/>
    </row>
    <row r="31" spans="1:7" x14ac:dyDescent="0.25">
      <c r="C31" s="12"/>
    </row>
    <row r="32" spans="1:7" x14ac:dyDescent="0.25">
      <c r="C32" s="12"/>
    </row>
    <row r="33" spans="3:3" x14ac:dyDescent="0.25">
      <c r="C33" s="12"/>
    </row>
  </sheetData>
  <mergeCells count="10">
    <mergeCell ref="B10:B11"/>
    <mergeCell ref="B14:B15"/>
    <mergeCell ref="D14:D15"/>
    <mergeCell ref="E14:E15"/>
    <mergeCell ref="F14:F15"/>
    <mergeCell ref="A1:F1"/>
    <mergeCell ref="A2:F2"/>
    <mergeCell ref="A3:F3"/>
    <mergeCell ref="B5:B6"/>
    <mergeCell ref="F5:F9"/>
  </mergeCells>
  <pageMargins left="0.7" right="0.7" top="0.75" bottom="0.75" header="0.3" footer="0.3"/>
  <pageSetup paperSize="9" scale="88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11111111</vt:lpstr>
      <vt:lpstr>гидрометео</vt:lpstr>
      <vt:lpstr>экология</vt:lpstr>
      <vt:lpstr>геол</vt:lpstr>
      <vt:lpstr>геод</vt:lpstr>
      <vt:lpstr>'11111111'!Область_печати</vt:lpstr>
      <vt:lpstr>геод!Область_печати</vt:lpstr>
      <vt:lpstr>геол!Область_печати</vt:lpstr>
      <vt:lpstr>гидрометео!Область_печати</vt:lpstr>
      <vt:lpstr>экология!Область_печати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2023-03-07T06:02:36Z</dcterms:modified>
</cp:coreProperties>
</file>